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45" windowWidth="22995" windowHeight="10035" tabRatio="754" activeTab="12"/>
  </bookViews>
  <sheets>
    <sheet name="atend1" sheetId="2" r:id="rId1"/>
    <sheet name="atend2" sheetId="3" r:id="rId2"/>
    <sheet name="atend3" sheetId="16" r:id="rId3"/>
    <sheet name="atend4" sheetId="19" r:id="rId4"/>
    <sheet name="auxsuperv" sheetId="6" r:id="rId5"/>
    <sheet name="superv" sheetId="7" r:id="rId6"/>
    <sheet name="telef" sheetId="8" r:id="rId7"/>
    <sheet name="atend1temp" sheetId="9" r:id="rId8"/>
    <sheet name="atend2temp" sheetId="10" r:id="rId9"/>
    <sheet name="atend3temp" sheetId="17" r:id="rId10"/>
    <sheet name="auxsupervtemp" sheetId="11" r:id="rId11"/>
    <sheet name="teleftemp" sheetId="12" r:id="rId12"/>
    <sheet name="hextra" sheetId="13" r:id="rId13"/>
    <sheet name="total" sheetId="15" r:id="rId14"/>
  </sheets>
  <definedNames>
    <definedName name="_xlnm.Print_Titles" localSheetId="12">hextra!$A:$A</definedName>
  </definedNames>
  <calcPr calcId="145621"/>
</workbook>
</file>

<file path=xl/calcChain.xml><?xml version="1.0" encoding="utf-8"?>
<calcChain xmlns="http://schemas.openxmlformats.org/spreadsheetml/2006/main">
  <c r="C22" i="13" l="1"/>
  <c r="F45" i="13" l="1"/>
  <c r="F46" i="13" s="1"/>
  <c r="F47" i="13" s="1"/>
  <c r="D45" i="13"/>
  <c r="H45" i="13" s="1"/>
  <c r="G44" i="13"/>
  <c r="I44" i="13" s="1"/>
  <c r="F44" i="13"/>
  <c r="H44" i="13" s="1"/>
  <c r="N20" i="13"/>
  <c r="L20" i="13"/>
  <c r="J20" i="13"/>
  <c r="H20" i="13"/>
  <c r="F20" i="13"/>
  <c r="D20" i="13"/>
  <c r="B20" i="13"/>
  <c r="N15" i="13"/>
  <c r="L15" i="13"/>
  <c r="J15" i="13"/>
  <c r="H15" i="13"/>
  <c r="F15" i="13"/>
  <c r="D15" i="13"/>
  <c r="B15" i="13"/>
  <c r="H46" i="13" l="1"/>
  <c r="H47" i="13" s="1"/>
  <c r="F48" i="13"/>
  <c r="C17" i="17"/>
  <c r="D26" i="8"/>
  <c r="C17" i="8"/>
  <c r="D26" i="7"/>
  <c r="C17" i="7"/>
  <c r="D26" i="6"/>
  <c r="C17" i="6"/>
  <c r="C17" i="19"/>
  <c r="C17" i="16"/>
  <c r="D26" i="16"/>
  <c r="D26" i="3"/>
  <c r="C17" i="3"/>
  <c r="D26" i="2"/>
  <c r="C17" i="2"/>
  <c r="F49" i="13" l="1"/>
  <c r="D34" i="13"/>
  <c r="E34" i="13" s="1"/>
  <c r="D33" i="13"/>
  <c r="H33" i="13" s="1"/>
  <c r="I33" i="13" s="1"/>
  <c r="D32" i="13"/>
  <c r="E32" i="13" s="1"/>
  <c r="D31" i="13"/>
  <c r="H31" i="13" s="1"/>
  <c r="I31" i="13" s="1"/>
  <c r="D30" i="13"/>
  <c r="E30" i="13" s="1"/>
  <c r="D29" i="13"/>
  <c r="H29" i="13" s="1"/>
  <c r="I29" i="13" s="1"/>
  <c r="D28" i="13"/>
  <c r="H28" i="13" s="1"/>
  <c r="F34" i="13"/>
  <c r="G34" i="13" s="1"/>
  <c r="F33" i="13"/>
  <c r="G33" i="13" s="1"/>
  <c r="C32" i="13"/>
  <c r="F31" i="13"/>
  <c r="G31" i="13" s="1"/>
  <c r="F30" i="13"/>
  <c r="G30" i="13" s="1"/>
  <c r="C29" i="13"/>
  <c r="C28" i="13"/>
  <c r="H48" i="13" l="1"/>
  <c r="H49" i="13" s="1"/>
  <c r="F32" i="13"/>
  <c r="G32" i="13" s="1"/>
  <c r="H34" i="13"/>
  <c r="I34" i="13" s="1"/>
  <c r="H30" i="13"/>
  <c r="I30" i="13" s="1"/>
  <c r="C30" i="13"/>
  <c r="C31" i="13"/>
  <c r="C33" i="13"/>
  <c r="C34" i="13"/>
  <c r="E28" i="13"/>
  <c r="H32" i="13"/>
  <c r="I32" i="13" s="1"/>
  <c r="I28" i="13"/>
  <c r="E33" i="13"/>
  <c r="E31" i="13"/>
  <c r="E29" i="13"/>
  <c r="F28" i="13"/>
  <c r="F29" i="13"/>
  <c r="G29" i="13" s="1"/>
  <c r="H35" i="13" l="1"/>
  <c r="I35" i="13" s="1"/>
  <c r="I36" i="13" s="1"/>
  <c r="F35" i="13"/>
  <c r="G28" i="13"/>
  <c r="D25" i="15"/>
  <c r="D24" i="15"/>
  <c r="D23" i="15"/>
  <c r="D22" i="15"/>
  <c r="D21" i="15"/>
  <c r="D15" i="15"/>
  <c r="D14" i="15"/>
  <c r="D13" i="15"/>
  <c r="D12" i="15"/>
  <c r="D11" i="15"/>
  <c r="C19" i="12"/>
  <c r="D26" i="12" s="1"/>
  <c r="D63" i="12" s="1"/>
  <c r="C19" i="11"/>
  <c r="D26" i="11" s="1"/>
  <c r="D63" i="11" s="1"/>
  <c r="D63" i="16"/>
  <c r="C19" i="17"/>
  <c r="D26" i="17" s="1"/>
  <c r="D63" i="17" s="1"/>
  <c r="D63" i="10"/>
  <c r="C19" i="10"/>
  <c r="D26" i="10" s="1"/>
  <c r="C19" i="9"/>
  <c r="D26" i="9" s="1"/>
  <c r="D63" i="9" s="1"/>
  <c r="D63" i="8"/>
  <c r="D63" i="7"/>
  <c r="D63" i="6"/>
  <c r="D63" i="3"/>
  <c r="D63" i="2"/>
  <c r="G35" i="13" l="1"/>
  <c r="G36" i="13" s="1"/>
  <c r="B13" i="15" l="1"/>
  <c r="B12" i="15"/>
  <c r="H8" i="13"/>
  <c r="H7" i="13"/>
  <c r="H4" i="13"/>
  <c r="A31" i="13" s="1"/>
  <c r="F4" i="13"/>
  <c r="A30" i="13" s="1"/>
  <c r="D26" i="19"/>
  <c r="C137" i="19"/>
  <c r="C144" i="19" s="1"/>
  <c r="C102" i="19"/>
  <c r="C101" i="19"/>
  <c r="C100" i="19"/>
  <c r="C99" i="19"/>
  <c r="C98" i="19"/>
  <c r="C88" i="19"/>
  <c r="C86" i="19"/>
  <c r="C85" i="19"/>
  <c r="C83" i="19"/>
  <c r="D64" i="19"/>
  <c r="C57" i="19"/>
  <c r="C87" i="19" s="1"/>
  <c r="C42" i="19"/>
  <c r="C41" i="19"/>
  <c r="C43" i="19" s="1"/>
  <c r="D33" i="19" l="1"/>
  <c r="I5" i="13" s="1"/>
  <c r="D63" i="19"/>
  <c r="D68" i="19" s="1"/>
  <c r="D76" i="19" s="1"/>
  <c r="H6" i="13"/>
  <c r="H9" i="13"/>
  <c r="D41" i="19"/>
  <c r="D43" i="19" s="1"/>
  <c r="D74" i="19" s="1"/>
  <c r="D86" i="19"/>
  <c r="D87" i="19" s="1"/>
  <c r="D88" i="19"/>
  <c r="D150" i="19"/>
  <c r="D53" i="19"/>
  <c r="D42" i="19"/>
  <c r="D85" i="19"/>
  <c r="D83" i="19"/>
  <c r="D10" i="15"/>
  <c r="F8" i="13"/>
  <c r="F7" i="13"/>
  <c r="I6" i="13" l="1"/>
  <c r="I7" i="13" s="1"/>
  <c r="I8" i="13" s="1"/>
  <c r="D51" i="19"/>
  <c r="D50" i="19"/>
  <c r="D56" i="19"/>
  <c r="D49" i="19"/>
  <c r="D84" i="19"/>
  <c r="D89" i="19" s="1"/>
  <c r="D152" i="19" s="1"/>
  <c r="D55" i="19"/>
  <c r="D54" i="19"/>
  <c r="D52" i="19"/>
  <c r="I9" i="13" l="1"/>
  <c r="I10" i="13" s="1"/>
  <c r="I11" i="13" s="1"/>
  <c r="D57" i="19"/>
  <c r="D75" i="19" s="1"/>
  <c r="D77" i="19" s="1"/>
  <c r="D151" i="19" s="1"/>
  <c r="I13" i="13" l="1"/>
  <c r="I17" i="13" s="1"/>
  <c r="I12" i="13"/>
  <c r="I16" i="13" s="1"/>
  <c r="D101" i="19"/>
  <c r="D100" i="19"/>
  <c r="D103" i="19"/>
  <c r="D98" i="19"/>
  <c r="D99" i="19"/>
  <c r="D110" i="19"/>
  <c r="D111" i="19" s="1"/>
  <c r="D118" i="19" s="1"/>
  <c r="D102" i="19"/>
  <c r="I21" i="13" l="1"/>
  <c r="I22" i="13"/>
  <c r="I23" i="13" s="1"/>
  <c r="I18" i="13"/>
  <c r="D104" i="19"/>
  <c r="D117" i="19" s="1"/>
  <c r="D119" i="19" s="1"/>
  <c r="D153" i="19" s="1"/>
  <c r="C137" i="17"/>
  <c r="C144" i="17" s="1"/>
  <c r="C102" i="17"/>
  <c r="C101" i="17"/>
  <c r="C100" i="17"/>
  <c r="C99" i="17"/>
  <c r="C98" i="17"/>
  <c r="C88" i="17"/>
  <c r="C86" i="17"/>
  <c r="C85" i="17"/>
  <c r="C83" i="17"/>
  <c r="D64" i="17"/>
  <c r="D68" i="17" s="1"/>
  <c r="D76" i="17" s="1"/>
  <c r="C57" i="17"/>
  <c r="C87" i="17" s="1"/>
  <c r="C42" i="17"/>
  <c r="C41" i="17"/>
  <c r="C43" i="17" s="1"/>
  <c r="D33" i="17"/>
  <c r="D150" i="17" s="1"/>
  <c r="C137" i="16"/>
  <c r="C102" i="16"/>
  <c r="C101" i="16"/>
  <c r="C100" i="16"/>
  <c r="C99" i="16"/>
  <c r="C98" i="16"/>
  <c r="C88" i="16"/>
  <c r="C86" i="16"/>
  <c r="C85" i="16"/>
  <c r="C83" i="16"/>
  <c r="D64" i="16"/>
  <c r="C57" i="16"/>
  <c r="C42" i="16"/>
  <c r="C41" i="16"/>
  <c r="C43" i="16" s="1"/>
  <c r="D33" i="16"/>
  <c r="G5" i="13" s="1"/>
  <c r="C87" i="16" l="1"/>
  <c r="F6" i="13"/>
  <c r="G6" i="13" s="1"/>
  <c r="G7" i="13" s="1"/>
  <c r="G8" i="13" s="1"/>
  <c r="C144" i="16"/>
  <c r="F9" i="13"/>
  <c r="D42" i="17"/>
  <c r="D85" i="17"/>
  <c r="D83" i="17"/>
  <c r="D41" i="17"/>
  <c r="D86" i="17"/>
  <c r="D87" i="17" s="1"/>
  <c r="D88" i="17"/>
  <c r="D68" i="16"/>
  <c r="D76" i="16" s="1"/>
  <c r="D41" i="16"/>
  <c r="D86" i="16"/>
  <c r="D87" i="16" s="1"/>
  <c r="D88" i="16"/>
  <c r="D150" i="16"/>
  <c r="D85" i="16"/>
  <c r="D42" i="16"/>
  <c r="D83" i="16"/>
  <c r="D129" i="9"/>
  <c r="D129" i="10"/>
  <c r="G9" i="13" l="1"/>
  <c r="G10" i="13" s="1"/>
  <c r="D43" i="17"/>
  <c r="D84" i="17"/>
  <c r="D89" i="17" s="1"/>
  <c r="D152" i="17" s="1"/>
  <c r="D43" i="16"/>
  <c r="D50" i="16" s="1"/>
  <c r="D49" i="16"/>
  <c r="D84" i="16"/>
  <c r="D89" i="16" s="1"/>
  <c r="D152" i="16" s="1"/>
  <c r="D56" i="16"/>
  <c r="B40" i="15"/>
  <c r="B39" i="15"/>
  <c r="B38" i="15"/>
  <c r="B35" i="15"/>
  <c r="B34" i="15"/>
  <c r="B25" i="15"/>
  <c r="B24" i="15"/>
  <c r="B22" i="15"/>
  <c r="B21" i="15"/>
  <c r="D16" i="15"/>
  <c r="B16" i="15"/>
  <c r="B15" i="15"/>
  <c r="B14" i="15"/>
  <c r="B11" i="15"/>
  <c r="B10" i="15"/>
  <c r="N8" i="13"/>
  <c r="N7" i="13"/>
  <c r="N4" i="13"/>
  <c r="A45" i="13" s="1"/>
  <c r="L8" i="13"/>
  <c r="L7" i="13"/>
  <c r="L4" i="13"/>
  <c r="A33" i="13" s="1"/>
  <c r="J8" i="13"/>
  <c r="J7" i="13"/>
  <c r="J4" i="13"/>
  <c r="A32" i="13" s="1"/>
  <c r="D8" i="13"/>
  <c r="D7" i="13"/>
  <c r="D4" i="13"/>
  <c r="A29" i="13" s="1"/>
  <c r="B8" i="13"/>
  <c r="B7" i="13"/>
  <c r="B4" i="13"/>
  <c r="A28" i="13" s="1"/>
  <c r="I37" i="13" l="1"/>
  <c r="I38" i="13" s="1"/>
  <c r="G37" i="13"/>
  <c r="G38" i="13" s="1"/>
  <c r="G11" i="13"/>
  <c r="G12" i="13" s="1"/>
  <c r="G21" i="13" s="1"/>
  <c r="A34" i="13"/>
  <c r="D74" i="17"/>
  <c r="D53" i="17"/>
  <c r="D49" i="17"/>
  <c r="D54" i="17"/>
  <c r="D55" i="17"/>
  <c r="D52" i="17"/>
  <c r="D50" i="17"/>
  <c r="D51" i="17"/>
  <c r="D56" i="17"/>
  <c r="D74" i="16"/>
  <c r="D54" i="16"/>
  <c r="D55" i="16"/>
  <c r="D52" i="16"/>
  <c r="D53" i="16"/>
  <c r="D51" i="16"/>
  <c r="D26" i="15"/>
  <c r="D17" i="15"/>
  <c r="G13" i="13" l="1"/>
  <c r="G16" i="13"/>
  <c r="D57" i="16"/>
  <c r="D75" i="16" s="1"/>
  <c r="D77" i="16" s="1"/>
  <c r="D57" i="17"/>
  <c r="D75" i="17" s="1"/>
  <c r="D77" i="17" s="1"/>
  <c r="D151" i="16"/>
  <c r="D101" i="16"/>
  <c r="D110" i="16"/>
  <c r="D111" i="16" s="1"/>
  <c r="D118" i="16" s="1"/>
  <c r="D102" i="16"/>
  <c r="D98" i="16"/>
  <c r="D100" i="16"/>
  <c r="D103" i="16"/>
  <c r="D99" i="16"/>
  <c r="G17" i="13" l="1"/>
  <c r="G18" i="13" s="1"/>
  <c r="G22" i="13"/>
  <c r="G23" i="13" s="1"/>
  <c r="D151" i="17"/>
  <c r="D101" i="17"/>
  <c r="D99" i="17"/>
  <c r="D102" i="17"/>
  <c r="D110" i="17"/>
  <c r="D111" i="17" s="1"/>
  <c r="D118" i="17" s="1"/>
  <c r="D98" i="17"/>
  <c r="D103" i="17"/>
  <c r="D100" i="17"/>
  <c r="D104" i="16"/>
  <c r="D117" i="16" s="1"/>
  <c r="D119" i="16" s="1"/>
  <c r="D153" i="16" s="1"/>
  <c r="D104" i="17" l="1"/>
  <c r="D117" i="17" s="1"/>
  <c r="D119" i="17" s="1"/>
  <c r="D153" i="17" s="1"/>
  <c r="C102" i="9" l="1"/>
  <c r="C102" i="10"/>
  <c r="C102" i="11"/>
  <c r="C102" i="12"/>
  <c r="C101" i="9"/>
  <c r="C101" i="10"/>
  <c r="C101" i="11"/>
  <c r="C101" i="12"/>
  <c r="C100" i="9"/>
  <c r="C100" i="10"/>
  <c r="C100" i="11"/>
  <c r="C100" i="12"/>
  <c r="C98" i="9"/>
  <c r="C98" i="10"/>
  <c r="C98" i="11"/>
  <c r="C98" i="12"/>
  <c r="C88" i="9"/>
  <c r="C88" i="10"/>
  <c r="C88" i="11"/>
  <c r="C88" i="12"/>
  <c r="C86" i="9"/>
  <c r="C86" i="10"/>
  <c r="C86" i="11"/>
  <c r="C86" i="12"/>
  <c r="C85" i="9"/>
  <c r="C85" i="10"/>
  <c r="C85" i="11"/>
  <c r="C85" i="12"/>
  <c r="C83" i="9"/>
  <c r="C83" i="10"/>
  <c r="C83" i="11"/>
  <c r="C83" i="12"/>
  <c r="C137" i="12"/>
  <c r="C144" i="12" s="1"/>
  <c r="C99" i="12"/>
  <c r="D68" i="12"/>
  <c r="D76" i="12" s="1"/>
  <c r="C57" i="12"/>
  <c r="C87" i="12" s="1"/>
  <c r="C42" i="12"/>
  <c r="C41" i="12"/>
  <c r="D33" i="12"/>
  <c r="D150" i="12" s="1"/>
  <c r="C144" i="11"/>
  <c r="C137" i="11"/>
  <c r="C99" i="11"/>
  <c r="D64" i="11"/>
  <c r="D68" i="11"/>
  <c r="D76" i="11" s="1"/>
  <c r="C57" i="11"/>
  <c r="C87" i="11" s="1"/>
  <c r="C42" i="11"/>
  <c r="C41" i="11"/>
  <c r="D33" i="11"/>
  <c r="D150" i="11" s="1"/>
  <c r="D154" i="10"/>
  <c r="C137" i="10"/>
  <c r="C144" i="10" s="1"/>
  <c r="C99" i="10"/>
  <c r="C87" i="10"/>
  <c r="D64" i="10"/>
  <c r="D68" i="10"/>
  <c r="D76" i="10" s="1"/>
  <c r="C57" i="10"/>
  <c r="C42" i="10"/>
  <c r="C41" i="10"/>
  <c r="D33" i="10"/>
  <c r="D42" i="10" s="1"/>
  <c r="D154" i="9"/>
  <c r="C144" i="9"/>
  <c r="C137" i="9"/>
  <c r="C99" i="9"/>
  <c r="D64" i="9"/>
  <c r="D68" i="9"/>
  <c r="D76" i="9" s="1"/>
  <c r="C57" i="9"/>
  <c r="C87" i="9" s="1"/>
  <c r="C42" i="9"/>
  <c r="C41" i="9"/>
  <c r="D33" i="9"/>
  <c r="D41" i="9" s="1"/>
  <c r="D68" i="2"/>
  <c r="D68" i="6"/>
  <c r="D76" i="6" s="1"/>
  <c r="D68" i="8"/>
  <c r="D76" i="8" s="1"/>
  <c r="D64" i="2"/>
  <c r="D64" i="3"/>
  <c r="D68" i="3" s="1"/>
  <c r="D76" i="3" s="1"/>
  <c r="D64" i="6"/>
  <c r="D64" i="7"/>
  <c r="D68" i="7" s="1"/>
  <c r="C144" i="8"/>
  <c r="C137" i="8"/>
  <c r="N9" i="13" s="1"/>
  <c r="C102" i="8"/>
  <c r="C101" i="8"/>
  <c r="C100" i="8"/>
  <c r="C99" i="8"/>
  <c r="C98" i="8"/>
  <c r="C88" i="8"/>
  <c r="C86" i="8"/>
  <c r="C85" i="8"/>
  <c r="C83" i="8"/>
  <c r="C57" i="8"/>
  <c r="C42" i="8"/>
  <c r="C43" i="8" s="1"/>
  <c r="C41" i="8"/>
  <c r="D33" i="8"/>
  <c r="C144" i="7"/>
  <c r="C137" i="7"/>
  <c r="L9" i="13" s="1"/>
  <c r="C102" i="7"/>
  <c r="C101" i="7"/>
  <c r="C100" i="7"/>
  <c r="C99" i="7"/>
  <c r="C98" i="7"/>
  <c r="C88" i="7"/>
  <c r="C86" i="7"/>
  <c r="C85" i="7"/>
  <c r="C83" i="7"/>
  <c r="C57" i="7"/>
  <c r="C42" i="7"/>
  <c r="C43" i="7" s="1"/>
  <c r="C41" i="7"/>
  <c r="D33" i="7"/>
  <c r="M5" i="13" s="1"/>
  <c r="C137" i="6"/>
  <c r="C102" i="6"/>
  <c r="C101" i="6"/>
  <c r="C100" i="6"/>
  <c r="C99" i="6"/>
  <c r="C98" i="6"/>
  <c r="C88" i="6"/>
  <c r="C86" i="6"/>
  <c r="C85" i="6"/>
  <c r="C83" i="6"/>
  <c r="C57" i="6"/>
  <c r="C42" i="6"/>
  <c r="C41" i="6"/>
  <c r="C43" i="6" s="1"/>
  <c r="D33" i="6"/>
  <c r="C137" i="3"/>
  <c r="C102" i="3"/>
  <c r="C101" i="3"/>
  <c r="C100" i="3"/>
  <c r="C99" i="3"/>
  <c r="C98" i="3"/>
  <c r="C88" i="3"/>
  <c r="C86" i="3"/>
  <c r="C85" i="3"/>
  <c r="C83" i="3"/>
  <c r="C57" i="3"/>
  <c r="C42" i="3"/>
  <c r="C41" i="3"/>
  <c r="D33" i="3"/>
  <c r="C144" i="2"/>
  <c r="C137" i="2"/>
  <c r="B9" i="13" s="1"/>
  <c r="C102" i="2"/>
  <c r="C101" i="2"/>
  <c r="C100" i="2"/>
  <c r="C99" i="2"/>
  <c r="C98" i="2"/>
  <c r="C88" i="2"/>
  <c r="C86" i="2"/>
  <c r="C85" i="2"/>
  <c r="C83" i="2"/>
  <c r="D76" i="2"/>
  <c r="C57" i="2"/>
  <c r="C42" i="2"/>
  <c r="C41" i="2"/>
  <c r="D33" i="2"/>
  <c r="G39" i="13" l="1"/>
  <c r="G40" i="13" s="1"/>
  <c r="I39" i="13"/>
  <c r="I40" i="13" s="1"/>
  <c r="D42" i="2"/>
  <c r="D150" i="3"/>
  <c r="E5" i="13"/>
  <c r="C87" i="6"/>
  <c r="J6" i="13"/>
  <c r="C144" i="6"/>
  <c r="J9" i="13"/>
  <c r="D41" i="8"/>
  <c r="O5" i="13"/>
  <c r="C43" i="9"/>
  <c r="D88" i="2"/>
  <c r="C5" i="13"/>
  <c r="D41" i="2"/>
  <c r="D43" i="2" s="1"/>
  <c r="D51" i="2" s="1"/>
  <c r="C87" i="2"/>
  <c r="B6" i="13"/>
  <c r="D85" i="2"/>
  <c r="C43" i="3"/>
  <c r="C87" i="3"/>
  <c r="D6" i="13"/>
  <c r="C144" i="3"/>
  <c r="D9" i="13"/>
  <c r="D150" i="6"/>
  <c r="K5" i="13"/>
  <c r="C87" i="7"/>
  <c r="L6" i="13"/>
  <c r="M6" i="13" s="1"/>
  <c r="M7" i="13" s="1"/>
  <c r="M8" i="13" s="1"/>
  <c r="C87" i="8"/>
  <c r="N6" i="13"/>
  <c r="C43" i="10"/>
  <c r="C43" i="11"/>
  <c r="C43" i="12"/>
  <c r="D86" i="12"/>
  <c r="D85" i="12"/>
  <c r="D88" i="12"/>
  <c r="D41" i="11"/>
  <c r="D85" i="10"/>
  <c r="D83" i="10"/>
  <c r="D84" i="10" s="1"/>
  <c r="D88" i="10"/>
  <c r="D87" i="12"/>
  <c r="D41" i="12"/>
  <c r="D83" i="12"/>
  <c r="D42" i="12"/>
  <c r="D86" i="11"/>
  <c r="D87" i="11" s="1"/>
  <c r="D83" i="11"/>
  <c r="D42" i="11"/>
  <c r="D43" i="11" s="1"/>
  <c r="D85" i="11"/>
  <c r="D88" i="11"/>
  <c r="D41" i="10"/>
  <c r="D43" i="10" s="1"/>
  <c r="D50" i="10" s="1"/>
  <c r="D150" i="10"/>
  <c r="D86" i="10"/>
  <c r="D87" i="10" s="1"/>
  <c r="D83" i="9"/>
  <c r="D42" i="9"/>
  <c r="D43" i="9" s="1"/>
  <c r="D85" i="9"/>
  <c r="D88" i="9"/>
  <c r="D150" i="9"/>
  <c r="D86" i="9"/>
  <c r="D87" i="9" s="1"/>
  <c r="D76" i="7"/>
  <c r="D150" i="8"/>
  <c r="D83" i="8"/>
  <c r="D42" i="8"/>
  <c r="D43" i="8" s="1"/>
  <c r="D85" i="8"/>
  <c r="D88" i="8"/>
  <c r="D86" i="8"/>
  <c r="D87" i="8" s="1"/>
  <c r="D83" i="7"/>
  <c r="D41" i="7"/>
  <c r="D42" i="7"/>
  <c r="D85" i="7"/>
  <c r="D88" i="7"/>
  <c r="D150" i="7"/>
  <c r="D86" i="7"/>
  <c r="D87" i="7" s="1"/>
  <c r="D83" i="6"/>
  <c r="D86" i="6"/>
  <c r="D87" i="6" s="1"/>
  <c r="D42" i="6"/>
  <c r="D85" i="6"/>
  <c r="D88" i="6"/>
  <c r="D41" i="6"/>
  <c r="D43" i="6" s="1"/>
  <c r="D74" i="6" s="1"/>
  <c r="D42" i="3"/>
  <c r="D83" i="3"/>
  <c r="D86" i="3"/>
  <c r="D87" i="3" s="1"/>
  <c r="D41" i="3"/>
  <c r="D85" i="3"/>
  <c r="D88" i="3"/>
  <c r="D52" i="2"/>
  <c r="D74" i="2"/>
  <c r="D50" i="2"/>
  <c r="C43" i="2"/>
  <c r="D86" i="2"/>
  <c r="D87" i="2" s="1"/>
  <c r="D55" i="2"/>
  <c r="D83" i="2"/>
  <c r="D150" i="2"/>
  <c r="O6" i="13" l="1"/>
  <c r="O7" i="13" s="1"/>
  <c r="E6" i="13"/>
  <c r="E7" i="13" s="1"/>
  <c r="E8" i="13" s="1"/>
  <c r="D43" i="3"/>
  <c r="D56" i="3" s="1"/>
  <c r="D49" i="2"/>
  <c r="D57" i="2" s="1"/>
  <c r="D75" i="2" s="1"/>
  <c r="D77" i="2" s="1"/>
  <c r="D54" i="2"/>
  <c r="D53" i="2"/>
  <c r="D56" i="2"/>
  <c r="C6" i="13"/>
  <c r="C7" i="13" s="1"/>
  <c r="C8" i="13" s="1"/>
  <c r="C9" i="13" s="1"/>
  <c r="K6" i="13"/>
  <c r="K7" i="13" s="1"/>
  <c r="M9" i="13"/>
  <c r="M10" i="13" s="1"/>
  <c r="M11" i="13" s="1"/>
  <c r="D43" i="12"/>
  <c r="D49" i="12" s="1"/>
  <c r="D56" i="10"/>
  <c r="D89" i="10"/>
  <c r="D152" i="10" s="1"/>
  <c r="D84" i="12"/>
  <c r="D89" i="12" s="1"/>
  <c r="D152" i="12" s="1"/>
  <c r="D50" i="12"/>
  <c r="D74" i="12"/>
  <c r="D50" i="11"/>
  <c r="D51" i="11"/>
  <c r="D74" i="11"/>
  <c r="D56" i="11"/>
  <c r="D53" i="11"/>
  <c r="D54" i="11"/>
  <c r="D49" i="11"/>
  <c r="D52" i="11"/>
  <c r="D55" i="11"/>
  <c r="D84" i="11"/>
  <c r="D89" i="11" s="1"/>
  <c r="D152" i="11" s="1"/>
  <c r="D53" i="10"/>
  <c r="D55" i="10"/>
  <c r="D52" i="10"/>
  <c r="D49" i="10"/>
  <c r="D51" i="10"/>
  <c r="D74" i="10"/>
  <c r="D54" i="10"/>
  <c r="D51" i="9"/>
  <c r="D50" i="9"/>
  <c r="D56" i="9"/>
  <c r="D74" i="9"/>
  <c r="D55" i="9"/>
  <c r="D54" i="9"/>
  <c r="D53" i="9"/>
  <c r="D49" i="9"/>
  <c r="D52" i="9"/>
  <c r="D84" i="9"/>
  <c r="D89" i="9" s="1"/>
  <c r="D152" i="9" s="1"/>
  <c r="D56" i="8"/>
  <c r="D51" i="8"/>
  <c r="D50" i="8"/>
  <c r="D53" i="8"/>
  <c r="D74" i="8"/>
  <c r="D54" i="8"/>
  <c r="D49" i="8"/>
  <c r="D52" i="8"/>
  <c r="D55" i="8"/>
  <c r="D84" i="8"/>
  <c r="D89" i="8" s="1"/>
  <c r="D152" i="8" s="1"/>
  <c r="D84" i="7"/>
  <c r="D89" i="7" s="1"/>
  <c r="D152" i="7" s="1"/>
  <c r="D43" i="7"/>
  <c r="D56" i="6"/>
  <c r="D84" i="6"/>
  <c r="D89" i="6" s="1"/>
  <c r="D152" i="6" s="1"/>
  <c r="D52" i="6"/>
  <c r="D50" i="6"/>
  <c r="D55" i="6"/>
  <c r="D54" i="6"/>
  <c r="D51" i="6"/>
  <c r="D53" i="6"/>
  <c r="D49" i="6"/>
  <c r="D49" i="3"/>
  <c r="D51" i="3"/>
  <c r="D74" i="3"/>
  <c r="D50" i="3"/>
  <c r="D84" i="3"/>
  <c r="D89" i="3" s="1"/>
  <c r="D152" i="3" s="1"/>
  <c r="D84" i="2"/>
  <c r="D89" i="2"/>
  <c r="D152" i="2" s="1"/>
  <c r="O8" i="13" l="1"/>
  <c r="O9" i="13" s="1"/>
  <c r="O10" i="13" s="1"/>
  <c r="O11" i="13" s="1"/>
  <c r="O13" i="13" s="1"/>
  <c r="E9" i="13"/>
  <c r="E10" i="13" s="1"/>
  <c r="E11" i="13" s="1"/>
  <c r="E13" i="13" s="1"/>
  <c r="K8" i="13"/>
  <c r="K9" i="13" s="1"/>
  <c r="K10" i="13" s="1"/>
  <c r="K11" i="13" s="1"/>
  <c r="K12" i="13" s="1"/>
  <c r="D52" i="3"/>
  <c r="D54" i="3"/>
  <c r="D57" i="3" s="1"/>
  <c r="D75" i="3" s="1"/>
  <c r="D77" i="3" s="1"/>
  <c r="D110" i="3" s="1"/>
  <c r="D53" i="3"/>
  <c r="D55" i="3"/>
  <c r="D110" i="2"/>
  <c r="D111" i="2" s="1"/>
  <c r="D118" i="2" s="1"/>
  <c r="C10" i="13"/>
  <c r="C11" i="13" s="1"/>
  <c r="M13" i="13"/>
  <c r="M12" i="13"/>
  <c r="D53" i="12"/>
  <c r="D51" i="12"/>
  <c r="D56" i="12"/>
  <c r="D55" i="12"/>
  <c r="D52" i="12"/>
  <c r="D54" i="12"/>
  <c r="D57" i="11"/>
  <c r="D75" i="11" s="1"/>
  <c r="D77" i="11" s="1"/>
  <c r="D57" i="10"/>
  <c r="D75" i="10" s="1"/>
  <c r="D77" i="10" s="1"/>
  <c r="D57" i="9"/>
  <c r="D75" i="9" s="1"/>
  <c r="D77" i="9" s="1"/>
  <c r="D57" i="8"/>
  <c r="D75" i="8" s="1"/>
  <c r="D77" i="8" s="1"/>
  <c r="D110" i="8" s="1"/>
  <c r="D51" i="7"/>
  <c r="D74" i="7"/>
  <c r="D53" i="7"/>
  <c r="D52" i="7"/>
  <c r="D49" i="7"/>
  <c r="D50" i="7"/>
  <c r="D55" i="7"/>
  <c r="D54" i="7"/>
  <c r="D56" i="7"/>
  <c r="D57" i="6"/>
  <c r="D75" i="6" s="1"/>
  <c r="D77" i="6" s="1"/>
  <c r="D110" i="6" s="1"/>
  <c r="D151" i="2"/>
  <c r="D103" i="2"/>
  <c r="D102" i="2"/>
  <c r="D100" i="2"/>
  <c r="D98" i="2"/>
  <c r="D101" i="2"/>
  <c r="D99" i="2"/>
  <c r="O12" i="13" l="1"/>
  <c r="E12" i="13"/>
  <c r="E16" i="13" s="1"/>
  <c r="K13" i="13"/>
  <c r="K17" i="13" s="1"/>
  <c r="M16" i="13"/>
  <c r="M21" i="13"/>
  <c r="C12" i="13"/>
  <c r="C13" i="13"/>
  <c r="E21" i="13"/>
  <c r="O16" i="13"/>
  <c r="O21" i="13"/>
  <c r="M17" i="13"/>
  <c r="M22" i="13"/>
  <c r="E17" i="13"/>
  <c r="E22" i="13"/>
  <c r="O17" i="13"/>
  <c r="O22" i="13"/>
  <c r="K16" i="13"/>
  <c r="K21" i="13"/>
  <c r="D57" i="12"/>
  <c r="D75" i="12" s="1"/>
  <c r="D77" i="12" s="1"/>
  <c r="D99" i="12" s="1"/>
  <c r="D151" i="12"/>
  <c r="D110" i="12"/>
  <c r="D111" i="12" s="1"/>
  <c r="D118" i="12" s="1"/>
  <c r="D100" i="12"/>
  <c r="D98" i="12"/>
  <c r="D102" i="11"/>
  <c r="D99" i="11"/>
  <c r="D151" i="11"/>
  <c r="D101" i="11"/>
  <c r="D110" i="11"/>
  <c r="D111" i="11" s="1"/>
  <c r="D118" i="11" s="1"/>
  <c r="D100" i="11"/>
  <c r="D98" i="11"/>
  <c r="D103" i="11"/>
  <c r="D151" i="10"/>
  <c r="D100" i="10"/>
  <c r="D103" i="10"/>
  <c r="D102" i="10"/>
  <c r="D99" i="10"/>
  <c r="D101" i="10"/>
  <c r="D98" i="10"/>
  <c r="D110" i="10"/>
  <c r="D111" i="10" s="1"/>
  <c r="D118" i="10" s="1"/>
  <c r="D151" i="9"/>
  <c r="D99" i="9"/>
  <c r="D102" i="9"/>
  <c r="D110" i="9"/>
  <c r="D111" i="9" s="1"/>
  <c r="D118" i="9" s="1"/>
  <c r="D98" i="9"/>
  <c r="D103" i="9"/>
  <c r="D101" i="9"/>
  <c r="D100" i="9"/>
  <c r="D151" i="8"/>
  <c r="D100" i="8"/>
  <c r="D102" i="8"/>
  <c r="D99" i="8"/>
  <c r="D111" i="8"/>
  <c r="D118" i="8" s="1"/>
  <c r="D98" i="8"/>
  <c r="D103" i="8"/>
  <c r="D101" i="8"/>
  <c r="D57" i="7"/>
  <c r="D75" i="7" s="1"/>
  <c r="D77" i="7"/>
  <c r="D110" i="7" s="1"/>
  <c r="D151" i="6"/>
  <c r="D100" i="6"/>
  <c r="D101" i="6"/>
  <c r="D102" i="6"/>
  <c r="D103" i="6"/>
  <c r="D111" i="6"/>
  <c r="D118" i="6" s="1"/>
  <c r="D98" i="6"/>
  <c r="D99" i="6"/>
  <c r="D151" i="3"/>
  <c r="D99" i="3"/>
  <c r="D98" i="3"/>
  <c r="D111" i="3"/>
  <c r="D118" i="3" s="1"/>
  <c r="D102" i="3"/>
  <c r="D101" i="3"/>
  <c r="D103" i="3"/>
  <c r="D100" i="3"/>
  <c r="D104" i="2"/>
  <c r="D117" i="2" s="1"/>
  <c r="D119" i="2" s="1"/>
  <c r="D153" i="2" s="1"/>
  <c r="K22" i="13" l="1"/>
  <c r="K23" i="13" s="1"/>
  <c r="K18" i="13"/>
  <c r="E18" i="13"/>
  <c r="O23" i="13"/>
  <c r="E23" i="13"/>
  <c r="C17" i="13"/>
  <c r="M23" i="13"/>
  <c r="O18" i="13"/>
  <c r="C16" i="13"/>
  <c r="C21" i="13"/>
  <c r="M18" i="13"/>
  <c r="D101" i="12"/>
  <c r="D103" i="12"/>
  <c r="D102" i="12"/>
  <c r="D104" i="12" s="1"/>
  <c r="D117" i="12" s="1"/>
  <c r="D119" i="12" s="1"/>
  <c r="D153" i="12" s="1"/>
  <c r="D104" i="10"/>
  <c r="D117" i="10" s="1"/>
  <c r="D119" i="10" s="1"/>
  <c r="D153" i="10" s="1"/>
  <c r="D155" i="10" s="1"/>
  <c r="D104" i="11"/>
  <c r="D117" i="11" s="1"/>
  <c r="D119" i="11" s="1"/>
  <c r="D153" i="11" s="1"/>
  <c r="D104" i="9"/>
  <c r="D117" i="9" s="1"/>
  <c r="D119" i="9" s="1"/>
  <c r="D153" i="9" s="1"/>
  <c r="D155" i="9" s="1"/>
  <c r="D104" i="8"/>
  <c r="D117" i="8" s="1"/>
  <c r="D119" i="8" s="1"/>
  <c r="D153" i="8" s="1"/>
  <c r="D151" i="7"/>
  <c r="D100" i="7"/>
  <c r="D102" i="7"/>
  <c r="D99" i="7"/>
  <c r="D98" i="7"/>
  <c r="D111" i="7"/>
  <c r="D118" i="7" s="1"/>
  <c r="D103" i="7"/>
  <c r="D101" i="7"/>
  <c r="D104" i="6"/>
  <c r="D117" i="6" s="1"/>
  <c r="D119" i="6" s="1"/>
  <c r="D153" i="6" s="1"/>
  <c r="D104" i="3"/>
  <c r="D117" i="3" s="1"/>
  <c r="D119" i="3" s="1"/>
  <c r="D153" i="3" s="1"/>
  <c r="C18" i="13" l="1"/>
  <c r="A53" i="13" s="1"/>
  <c r="C23" i="13"/>
  <c r="A56" i="13" s="1"/>
  <c r="F30" i="15" s="1"/>
  <c r="D135" i="10"/>
  <c r="D135" i="9"/>
  <c r="D104" i="7"/>
  <c r="D117" i="7" s="1"/>
  <c r="D119" i="7" s="1"/>
  <c r="D153" i="7" s="1"/>
  <c r="D136" i="10" l="1"/>
  <c r="D137" i="10" s="1"/>
  <c r="D136" i="9"/>
  <c r="D137" i="9" s="1"/>
  <c r="D144" i="9" l="1"/>
  <c r="D156" i="9" s="1"/>
  <c r="D144" i="10"/>
  <c r="D156" i="10" s="1"/>
  <c r="D157" i="10" s="1"/>
  <c r="C22" i="15" s="1"/>
  <c r="E22" i="15" s="1"/>
  <c r="F22" i="15" s="1"/>
  <c r="F40" i="15" l="1"/>
  <c r="F29" i="15"/>
  <c r="D157" i="9"/>
  <c r="C21" i="15" s="1"/>
  <c r="E21" i="15" s="1"/>
  <c r="F21" i="15" s="1"/>
  <c r="D141" i="10"/>
  <c r="D140" i="10"/>
  <c r="D139" i="10"/>
  <c r="D138" i="10"/>
  <c r="D143" i="10"/>
  <c r="D142" i="10"/>
  <c r="D138" i="9" l="1"/>
  <c r="D143" i="9"/>
  <c r="F35" i="15"/>
  <c r="D141" i="9"/>
  <c r="D142" i="9"/>
  <c r="D140" i="9"/>
  <c r="D139" i="9"/>
  <c r="D129" i="12"/>
  <c r="D154" i="12" s="1"/>
  <c r="D155" i="12" s="1"/>
  <c r="D135" i="12" l="1"/>
  <c r="D136" i="12" s="1"/>
  <c r="D137" i="12" l="1"/>
  <c r="D144" i="12" s="1"/>
  <c r="D156" i="12" s="1"/>
  <c r="D157" i="12" s="1"/>
  <c r="D141" i="12" l="1"/>
  <c r="D143" i="12"/>
  <c r="D140" i="12"/>
  <c r="D138" i="12"/>
  <c r="D139" i="12"/>
  <c r="D142" i="12"/>
  <c r="C25" i="15"/>
  <c r="E25" i="15" s="1"/>
  <c r="F25" i="15" s="1"/>
  <c r="D129" i="8"/>
  <c r="D154" i="8" s="1"/>
  <c r="D155" i="8" s="1"/>
  <c r="D135" i="8" l="1"/>
  <c r="D136" i="8" l="1"/>
  <c r="D137" i="8"/>
  <c r="D144" i="8" l="1"/>
  <c r="D156" i="8" s="1"/>
  <c r="D157" i="8" s="1"/>
  <c r="D139" i="8" s="1"/>
  <c r="D143" i="8"/>
  <c r="D141" i="8"/>
  <c r="D142" i="8"/>
  <c r="D138" i="8"/>
  <c r="D140" i="8" l="1"/>
  <c r="C16" i="15"/>
  <c r="E16" i="15" s="1"/>
  <c r="F16" i="15" s="1"/>
  <c r="D129" i="19"/>
  <c r="D154" i="19" s="1"/>
  <c r="D155" i="19" s="1"/>
  <c r="D129" i="16"/>
  <c r="D154" i="16" s="1"/>
  <c r="D155" i="16" s="1"/>
  <c r="D135" i="16" l="1"/>
  <c r="D135" i="19"/>
  <c r="D136" i="19" s="1"/>
  <c r="D137" i="19" s="1"/>
  <c r="D136" i="16" l="1"/>
  <c r="D144" i="19"/>
  <c r="D156" i="19" s="1"/>
  <c r="D157" i="19" s="1"/>
  <c r="D137" i="16"/>
  <c r="D144" i="16" l="1"/>
  <c r="D156" i="16" s="1"/>
  <c r="D157" i="16" s="1"/>
  <c r="D141" i="16" s="1"/>
  <c r="C12" i="15"/>
  <c r="E12" i="15" s="1"/>
  <c r="F12" i="15" s="1"/>
  <c r="D143" i="16"/>
  <c r="D140" i="19"/>
  <c r="D141" i="19"/>
  <c r="D139" i="19"/>
  <c r="D143" i="19"/>
  <c r="D142" i="19"/>
  <c r="C13" i="15"/>
  <c r="E13" i="15" s="1"/>
  <c r="F13" i="15" s="1"/>
  <c r="D138" i="19"/>
  <c r="D129" i="6"/>
  <c r="D154" i="6" s="1"/>
  <c r="D155" i="6" s="1"/>
  <c r="D139" i="16" l="1"/>
  <c r="D138" i="16"/>
  <c r="D142" i="16"/>
  <c r="D140" i="16"/>
  <c r="D135" i="6"/>
  <c r="D136" i="6"/>
  <c r="D137" i="6" l="1"/>
  <c r="D144" i="6"/>
  <c r="D156" i="6" s="1"/>
  <c r="D157" i="6" s="1"/>
  <c r="D142" i="6" l="1"/>
  <c r="C14" i="15"/>
  <c r="E14" i="15" s="1"/>
  <c r="F14" i="15" s="1"/>
  <c r="D143" i="6"/>
  <c r="D138" i="6"/>
  <c r="D140" i="6"/>
  <c r="D139" i="6"/>
  <c r="D141" i="6"/>
  <c r="D129" i="3"/>
  <c r="D154" i="3" s="1"/>
  <c r="D155" i="3" s="1"/>
  <c r="D135" i="3" s="1"/>
  <c r="D136" i="3" l="1"/>
  <c r="D137" i="3"/>
  <c r="D144" i="3" l="1"/>
  <c r="D156" i="3" s="1"/>
  <c r="D157" i="3" s="1"/>
  <c r="D143" i="3"/>
  <c r="D141" i="3"/>
  <c r="C11" i="15"/>
  <c r="E11" i="15" s="1"/>
  <c r="F11" i="15" s="1"/>
  <c r="D142" i="3"/>
  <c r="D140" i="3"/>
  <c r="D138" i="3"/>
  <c r="D139" i="3"/>
  <c r="D129" i="2"/>
  <c r="D154" i="2" s="1"/>
  <c r="D155" i="2" s="1"/>
  <c r="D135" i="2" l="1"/>
  <c r="D136" i="2" l="1"/>
  <c r="D137" i="2"/>
  <c r="D144" i="2" l="1"/>
  <c r="D156" i="2" s="1"/>
  <c r="D157" i="2" s="1"/>
  <c r="D141" i="2"/>
  <c r="C10" i="15"/>
  <c r="E10" i="15" s="1"/>
  <c r="D140" i="2"/>
  <c r="D143" i="2"/>
  <c r="D139" i="2"/>
  <c r="D138" i="2"/>
  <c r="D142" i="2"/>
  <c r="F10" i="15" l="1"/>
  <c r="D129" i="7"/>
  <c r="D154" i="7"/>
  <c r="D155" i="7" s="1"/>
  <c r="D135" i="7" l="1"/>
  <c r="D136" i="7" s="1"/>
  <c r="D137" i="7" l="1"/>
  <c r="D144" i="7"/>
  <c r="D156" i="7" s="1"/>
  <c r="D157" i="7" s="1"/>
  <c r="C15" i="15" s="1"/>
  <c r="E15" i="15" s="1"/>
  <c r="D139" i="7"/>
  <c r="D143" i="7"/>
  <c r="D142" i="7"/>
  <c r="D138" i="7" l="1"/>
  <c r="D140" i="7"/>
  <c r="D141" i="7"/>
  <c r="F15" i="15"/>
  <c r="F17" i="15" s="1"/>
  <c r="E17" i="15"/>
  <c r="E38" i="15" l="1"/>
  <c r="E34" i="15"/>
  <c r="F38" i="15"/>
  <c r="D129" i="11"/>
  <c r="D154" i="11" s="1"/>
  <c r="D155" i="11" s="1"/>
  <c r="F34" i="15"/>
  <c r="F36" i="15" s="1"/>
  <c r="D129" i="17"/>
  <c r="D154" i="17" s="1"/>
  <c r="D155" i="17" s="1"/>
  <c r="D135" i="17" l="1"/>
  <c r="D135" i="11"/>
  <c r="D136" i="11"/>
  <c r="D137" i="11" s="1"/>
  <c r="D136" i="17" l="1"/>
  <c r="D137" i="17" s="1"/>
  <c r="D144" i="11"/>
  <c r="D156" i="11" s="1"/>
  <c r="D157" i="11" s="1"/>
  <c r="D139" i="11" l="1"/>
  <c r="D140" i="11"/>
  <c r="C24" i="15"/>
  <c r="E24" i="15" s="1"/>
  <c r="F24" i="15" s="1"/>
  <c r="D141" i="11"/>
  <c r="D142" i="11"/>
  <c r="D138" i="11"/>
  <c r="D143" i="11"/>
  <c r="D144" i="17"/>
  <c r="D156" i="17" s="1"/>
  <c r="D157" i="17" s="1"/>
  <c r="D142" i="17" l="1"/>
  <c r="C23" i="15"/>
  <c r="E23" i="15" s="1"/>
  <c r="D143" i="17"/>
  <c r="D140" i="17"/>
  <c r="D138" i="17"/>
  <c r="D141" i="17"/>
  <c r="D139" i="17"/>
  <c r="F23" i="15" l="1"/>
  <c r="F26" i="15" s="1"/>
  <c r="F39" i="15" s="1"/>
  <c r="F41" i="15" s="1"/>
  <c r="F43" i="15" s="1"/>
  <c r="E26" i="15"/>
  <c r="E39" i="15" s="1"/>
</calcChain>
</file>

<file path=xl/sharedStrings.xml><?xml version="1.0" encoding="utf-8"?>
<sst xmlns="http://schemas.openxmlformats.org/spreadsheetml/2006/main" count="2402" uniqueCount="175">
  <si>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</si>
  <si>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</si>
  <si>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</si>
  <si>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</si>
  <si>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</si>
  <si>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</si>
  <si>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</si>
  <si>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</si>
  <si>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</si>
  <si>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</si>
  <si>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</si>
  <si>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</si>
  <si>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</si>
  <si>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</si>
  <si>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</si>
  <si>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</si>
  <si>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</si>
  <si>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</si>
  <si>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</si>
  <si>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</si>
  <si>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</si>
  <si>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</si>
  <si>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</si>
  <si>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</si>
  <si>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</si>
  <si>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</si>
  <si>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</si>
  <si>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</si>
  <si>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</si>
  <si>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</si>
  <si>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</si>
  <si>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</si>
  <si>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</si>
  <si>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</si>
  <si>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</si>
  <si>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</si>
  <si>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</si>
  <si>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</si>
  <si>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</si>
  <si>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</si>
  <si>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</si>
  <si>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</si>
  <si>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</si>
  <si>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</si>
  <si>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</si>
  <si>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</si>
  <si>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</si>
  <si>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</si>
  <si>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</si>
  <si>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</si>
  <si>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</si>
  <si>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</si>
  <si>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</si>
  <si>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</si>
  <si>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</si>
  <si>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</si>
  <si>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</si>
  <si>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</si>
  <si>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</si>
  <si>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</si>
  <si>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</si>
  <si>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</si>
  <si>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</si>
  <si>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</si>
  <si>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</si>
  <si>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</si>
  <si>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</si>
  <si>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</si>
  <si>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</si>
  <si>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</si>
  <si>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</si>
  <si>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</si>
  <si>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</si>
  <si>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</si>
  <si>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</si>
  <si>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</si>
  <si>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</si>
  <si>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</si>
  <si>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</si>
  <si>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</si>
  <si>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</si>
  <si>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</si>
  <si>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</si>
  <si>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</si>
  <si>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</si>
  <si>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</si>
  <si>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</si>
  <si>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</si>
  <si>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</si>
  <si>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</si>
  <si>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</si>
  <si>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</si>
  <si>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</si>
  <si>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</si>
  <si>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</si>
  <si>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</si>
  <si>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</si>
  <si>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</si>
  <si>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</si>
  <si>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</si>
  <si>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</si>
  <si>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</si>
  <si>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</si>
  <si>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</si>
  <si>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</si>
  <si>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posto de serviço</t>
  </si>
  <si>
    <t>Atendente I</t>
  </si>
  <si>
    <t>Atendente II</t>
  </si>
  <si>
    <t>Auxiliar de Supervisão</t>
  </si>
  <si>
    <t>Supervisor</t>
  </si>
  <si>
    <t>Telefonista</t>
  </si>
  <si>
    <t>BA000008/2022 - SEAC x SINDILIMP</t>
  </si>
  <si>
    <t>Assistência Médica</t>
  </si>
  <si>
    <t>Assistência Odontológica</t>
  </si>
  <si>
    <t>Seguro de Vida</t>
  </si>
  <si>
    <t>Auxiliar de Supervisão - acréscimo em ano eleitoral por 150 dias</t>
  </si>
  <si>
    <t>Telefonista - acréscimo em ano eleitoral por 150 dias</t>
  </si>
  <si>
    <t>posto</t>
  </si>
  <si>
    <t>remuneração</t>
  </si>
  <si>
    <t>encargos</t>
  </si>
  <si>
    <t>custos indiretos</t>
  </si>
  <si>
    <t>lucro</t>
  </si>
  <si>
    <t>tributos</t>
  </si>
  <si>
    <t>subtotal</t>
  </si>
  <si>
    <t>v.u. hora normal</t>
  </si>
  <si>
    <t>v.u. hora extra dom-fer</t>
  </si>
  <si>
    <t>HE dom-fer</t>
  </si>
  <si>
    <t>v.u. hora extra seg-sab</t>
  </si>
  <si>
    <t>HE seg-sab</t>
  </si>
  <si>
    <t>5.3.2. HORAS EXTRAS</t>
  </si>
  <si>
    <t>item</t>
  </si>
  <si>
    <t>serviço</t>
  </si>
  <si>
    <t>valor por posto</t>
  </si>
  <si>
    <t>quantidade de postos</t>
  </si>
  <si>
    <t>valor mensal</t>
  </si>
  <si>
    <t>valor anual</t>
  </si>
  <si>
    <t>total</t>
  </si>
  <si>
    <t>valor total</t>
  </si>
  <si>
    <t>postos regulares - tópico 4</t>
  </si>
  <si>
    <t>acréscimo de postos em ano eleitoral - tópico 4.1</t>
  </si>
  <si>
    <t>horas extras - tópico 5.3.2</t>
  </si>
  <si>
    <t>total estimado</t>
  </si>
  <si>
    <t>ano não eleitoral</t>
  </si>
  <si>
    <t>valor ano não eleitoral</t>
  </si>
  <si>
    <t>ano eleitoral</t>
  </si>
  <si>
    <t>valor ano eleitoral</t>
  </si>
  <si>
    <t>VALOR TOTAL ESTIMADO - 24 MESES</t>
  </si>
  <si>
    <t>Equipamentos de Proteção Individual</t>
  </si>
  <si>
    <t>Atendente III</t>
  </si>
  <si>
    <t>Atendente III - acréscimo em ano eleitoral por 150 dias</t>
  </si>
  <si>
    <t>Valor total estimado</t>
  </si>
  <si>
    <t>Ano Eleitoral</t>
  </si>
  <si>
    <t>Total por Categoria Profissional</t>
  </si>
  <si>
    <t>Ano não eleitoral</t>
  </si>
  <si>
    <t>Ano eleitoral</t>
  </si>
  <si>
    <t>Atendente IV (LIBRAS)</t>
  </si>
  <si>
    <t>Atendente I - acréscimo em ano eleitoral por 210 dias</t>
  </si>
  <si>
    <t>Atendente II - acréscimo em ano eleitoral por 210 dias</t>
  </si>
  <si>
    <t>Ano Não Eleitoral</t>
  </si>
  <si>
    <t>Sábados</t>
  </si>
  <si>
    <t>Domingos</t>
  </si>
  <si>
    <t>Posto</t>
  </si>
  <si>
    <t>QTD</t>
  </si>
  <si>
    <t>VALOR</t>
  </si>
  <si>
    <t>TOTAL</t>
  </si>
  <si>
    <t>c. indiretos</t>
  </si>
  <si>
    <t>SUBTOTAL</t>
  </si>
  <si>
    <t>Úteis</t>
  </si>
  <si>
    <t>Sáb/Dom</t>
  </si>
  <si>
    <t>Sáb/dom</t>
  </si>
  <si>
    <t>401-05</t>
  </si>
  <si>
    <t>Valores referenciais</t>
  </si>
  <si>
    <t>Alimentação</t>
  </si>
  <si>
    <t>Total com hora extra em ano não eleitoral</t>
  </si>
  <si>
    <t>Total com hora extra em ano eleitoral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</si>
</sst>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* #,##0.00_-;\-* #,##0.00_-;_-* \-??_-;_-@_-"/>
    <numFmt numFmtId="166" formatCode="_-* #,##0_-;\-* #,##0_-;_-* \-??_-;_-@_-"/>
    <numFmt numFmtId="167" formatCode="0.000"/>
    <numFmt numFmtId="168" formatCode="#,##0_ ;\-#,##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u/>
      <sz val="11"/>
      <color theme="10"/>
      <name val="Calibri"/>
      <family val="2"/>
      <scheme val="minor"/>
    </font>
    <font>
      <b/>
      <sz val="9"/>
      <color theme="1"/>
      <name val="Times New Roman"/>
      <family val="1"/>
    </font>
    <font>
      <sz val="9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0"/>
      <color indexed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</borders>
  <cellStyleXfs count="15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11" fillId="0" borderId="0" applyNumberFormat="0" applyFill="0" applyBorder="0" applyAlignment="0" applyProtection="0"/>
    <xf numFmtId="44" fontId="1" fillId="0" borderId="0" applyFont="0" applyFill="0" applyBorder="0" applyAlignment="0" applyProtection="0"/>
  </cellStyleXfs>
  <cellXfs count="130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9" fillId="0" borderId="0" xfId="12" applyFont="1"/>
    <xf numFmtId="0" fontId="8" fillId="0" borderId="0" xfId="12"/>
    <xf numFmtId="0" fontId="9" fillId="0" borderId="0" xfId="12" applyFont="1" applyAlignment="1">
      <alignment horizontal="center" vertical="center" wrapText="1"/>
    </xf>
    <xf numFmtId="0" fontId="8" fillId="0" borderId="0" xfId="12" applyAlignment="1">
      <alignment horizontal="center" vertical="center" wrapText="1"/>
    </xf>
    <xf numFmtId="0" fontId="10" fillId="0" borderId="0" xfId="12" applyFont="1"/>
    <xf numFmtId="165" fontId="10" fillId="0" borderId="0" xfId="12" applyNumberFormat="1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3" fillId="0" borderId="0" xfId="0" applyFont="1"/>
    <xf numFmtId="0" fontId="12" fillId="0" borderId="0" xfId="0" applyFont="1"/>
    <xf numFmtId="167" fontId="13" fillId="0" borderId="0" xfId="0" applyNumberFormat="1" applyFont="1"/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/>
    <xf numFmtId="0" fontId="13" fillId="0" borderId="5" xfId="0" applyFont="1" applyBorder="1" applyAlignment="1">
      <alignment wrapText="1"/>
    </xf>
    <xf numFmtId="43" fontId="13" fillId="0" borderId="5" xfId="0" applyNumberFormat="1" applyFont="1" applyBorder="1"/>
    <xf numFmtId="0" fontId="13" fillId="0" borderId="5" xfId="0" applyFont="1" applyBorder="1" applyAlignment="1">
      <alignment horizontal="center"/>
    </xf>
    <xf numFmtId="43" fontId="13" fillId="0" borderId="5" xfId="10" applyFont="1" applyBorder="1"/>
    <xf numFmtId="43" fontId="12" fillId="7" borderId="5" xfId="0" applyNumberFormat="1" applyFont="1" applyFill="1" applyBorder="1"/>
    <xf numFmtId="43" fontId="13" fillId="0" borderId="0" xfId="0" applyNumberFormat="1" applyFont="1"/>
    <xf numFmtId="8" fontId="11" fillId="0" borderId="0" xfId="13" applyNumberFormat="1"/>
    <xf numFmtId="8" fontId="13" fillId="0" borderId="0" xfId="0" applyNumberFormat="1" applyFont="1"/>
    <xf numFmtId="165" fontId="14" fillId="0" borderId="0" xfId="12" applyNumberFormat="1" applyFont="1"/>
    <xf numFmtId="0" fontId="9" fillId="7" borderId="0" xfId="12" applyFont="1" applyFill="1"/>
    <xf numFmtId="0" fontId="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9" fillId="0" borderId="0" xfId="12" applyFont="1" applyBorder="1"/>
    <xf numFmtId="9" fontId="9" fillId="0" borderId="0" xfId="12" applyNumberFormat="1" applyFont="1" applyBorder="1"/>
    <xf numFmtId="165" fontId="9" fillId="0" borderId="0" xfId="12" applyNumberFormat="1" applyFont="1" applyBorder="1"/>
    <xf numFmtId="9" fontId="9" fillId="0" borderId="0" xfId="11" applyFont="1" applyBorder="1"/>
    <xf numFmtId="10" fontId="9" fillId="0" borderId="0" xfId="11" applyNumberFormat="1" applyFont="1" applyBorder="1"/>
    <xf numFmtId="0" fontId="9" fillId="6" borderId="5" xfId="12" applyFont="1" applyFill="1" applyBorder="1" applyAlignment="1">
      <alignment horizontal="center" vertical="center" wrapText="1"/>
    </xf>
    <xf numFmtId="0" fontId="9" fillId="0" borderId="5" xfId="12" applyFont="1" applyBorder="1"/>
    <xf numFmtId="0" fontId="9" fillId="0" borderId="6" xfId="12" applyFont="1" applyBorder="1"/>
    <xf numFmtId="165" fontId="9" fillId="0" borderId="8" xfId="12" applyNumberFormat="1" applyFont="1" applyBorder="1"/>
    <xf numFmtId="10" fontId="9" fillId="0" borderId="5" xfId="12" applyNumberFormat="1" applyFont="1" applyBorder="1"/>
    <xf numFmtId="165" fontId="9" fillId="0" borderId="5" xfId="12" applyNumberFormat="1" applyFont="1" applyBorder="1"/>
    <xf numFmtId="9" fontId="9" fillId="0" borderId="5" xfId="12" applyNumberFormat="1" applyFont="1" applyBorder="1"/>
    <xf numFmtId="166" fontId="9" fillId="0" borderId="5" xfId="12" applyNumberFormat="1" applyFont="1" applyBorder="1"/>
    <xf numFmtId="168" fontId="9" fillId="0" borderId="5" xfId="12" applyNumberFormat="1" applyFont="1" applyBorder="1"/>
    <xf numFmtId="165" fontId="14" fillId="0" borderId="5" xfId="12" applyNumberFormat="1" applyFont="1" applyBorder="1"/>
    <xf numFmtId="0" fontId="9" fillId="0" borderId="8" xfId="12" applyFont="1" applyBorder="1"/>
    <xf numFmtId="0" fontId="9" fillId="0" borderId="9" xfId="12" applyFont="1" applyBorder="1"/>
    <xf numFmtId="0" fontId="9" fillId="0" borderId="10" xfId="12" applyFont="1" applyBorder="1"/>
    <xf numFmtId="165" fontId="9" fillId="0" borderId="10" xfId="12" applyNumberFormat="1" applyFont="1" applyBorder="1"/>
    <xf numFmtId="44" fontId="9" fillId="0" borderId="5" xfId="14" applyFont="1" applyBorder="1"/>
    <xf numFmtId="44" fontId="9" fillId="0" borderId="5" xfId="12" applyNumberFormat="1" applyFont="1" applyBorder="1"/>
    <xf numFmtId="44" fontId="14" fillId="0" borderId="5" xfId="12" applyNumberFormat="1" applyFont="1" applyBorder="1"/>
    <xf numFmtId="44" fontId="9" fillId="0" borderId="6" xfId="14" applyFont="1" applyBorder="1"/>
    <xf numFmtId="44" fontId="9" fillId="0" borderId="8" xfId="14" applyFont="1" applyBorder="1"/>
    <xf numFmtId="0" fontId="14" fillId="0" borderId="0" xfId="12" applyFont="1" applyBorder="1" applyAlignment="1">
      <alignment horizontal="center"/>
    </xf>
    <xf numFmtId="0" fontId="14" fillId="0" borderId="0" xfId="12" applyFont="1" applyAlignment="1">
      <alignment horizontal="center"/>
    </xf>
    <xf numFmtId="0" fontId="9" fillId="0" borderId="5" xfId="12" applyFont="1" applyBorder="1" applyAlignment="1">
      <alignment horizontal="center"/>
    </xf>
    <xf numFmtId="0" fontId="9" fillId="0" borderId="11" xfId="12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14" fontId="4" fillId="0" borderId="2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9" fillId="6" borderId="5" xfId="12" applyFont="1" applyFill="1" applyBorder="1" applyAlignment="1">
      <alignment horizontal="center" vertical="center" wrapText="1"/>
    </xf>
    <xf numFmtId="0" fontId="14" fillId="0" borderId="12" xfId="12" applyFont="1" applyBorder="1" applyAlignment="1">
      <alignment horizontal="center" vertical="center"/>
    </xf>
    <xf numFmtId="0" fontId="14" fillId="0" borderId="9" xfId="12" applyFont="1" applyBorder="1" applyAlignment="1">
      <alignment horizontal="center" vertical="center"/>
    </xf>
    <xf numFmtId="0" fontId="9" fillId="0" borderId="5" xfId="12" applyFont="1" applyBorder="1" applyAlignment="1">
      <alignment horizontal="center"/>
    </xf>
    <xf numFmtId="0" fontId="9" fillId="6" borderId="5" xfId="12" applyFont="1" applyFill="1" applyBorder="1" applyAlignment="1">
      <alignment horizontal="center"/>
    </xf>
    <xf numFmtId="0" fontId="12" fillId="7" borderId="6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center"/>
    </xf>
    <xf numFmtId="0" fontId="12" fillId="7" borderId="5" xfId="0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/>
    <xf numFmtId="0" fontId="13" fillId="0" borderId="7" xfId="0" applyFont="1" applyBorder="1"/>
    <xf numFmtId="0" fontId="13" fillId="0" borderId="8" xfId="0" applyFont="1" applyBorder="1"/>
  </cellXfs>
  <cellStyles count="15">
    <cellStyle name="Hiperlink" xfId="13" builtinId="8"/>
    <cellStyle name="Moeda" xfId="14" builtinId="4"/>
    <cellStyle name="Normal" xfId="0" builtinId="0"/>
    <cellStyle name="Normal 2" xfId="1"/>
    <cellStyle name="Normal 3" xfId="12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1257300</xdr:colOff>
      <xdr:row>0</xdr:row>
      <xdr:rowOff>0</xdr:rowOff>
    </xdr:from>
    <xdr:to>
      <xdr:col>3</xdr:col>
      <xdr:colOff>510994</xdr:colOff>
      <xdr:row>4</xdr:row>
      <xdr:rowOff>66675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66900" y="0"/>
          <a:ext cx="1777819" cy="676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15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94" t="s">
        <v>106</v>
      </c>
      <c r="B13" s="94"/>
      <c r="C13" s="60" t="s">
        <v>105</v>
      </c>
      <c r="D13" s="60">
        <v>3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1230.3499999999999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1230.3499999999999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1230.3499999999999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102.48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136.69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239.17000000000002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293.89999999999998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36.729999999999997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44.08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22.04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14.69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8.81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2.93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117.56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540.74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151.57900000000001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529.72899999999993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239.17000000000002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540.74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529.72899999999993</v>
      </c>
    </row>
    <row r="77" spans="1:5" x14ac:dyDescent="0.2">
      <c r="A77" s="100" t="s">
        <v>16</v>
      </c>
      <c r="B77" s="100"/>
      <c r="C77" s="100"/>
      <c r="D77" s="15">
        <f>SUM(D74:D76)</f>
        <v>1309.6390000000001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5.04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1.96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22.63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8.32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37.4</v>
      </c>
    </row>
    <row r="89" spans="1:5" x14ac:dyDescent="0.2">
      <c r="A89" s="107" t="s">
        <v>16</v>
      </c>
      <c r="B89" s="108"/>
      <c r="C89" s="109"/>
      <c r="D89" s="15">
        <f>SUM(D83:D88)</f>
        <v>75.75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24.06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14.38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0.52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8.6300000000000008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2.9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50.49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50.49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50.49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0.42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38.260000000000005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135.22445000000002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170.38280700000001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285.02827173563213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21.418279999999999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98.8536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164.756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590.63552873563208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1230.3499999999999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1309.6390000000001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75.75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50.49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38.260000000000005</v>
      </c>
    </row>
    <row r="155" spans="1:4" x14ac:dyDescent="0.2">
      <c r="A155" s="100" t="s">
        <v>101</v>
      </c>
      <c r="B155" s="100"/>
      <c r="C155" s="100"/>
      <c r="D155" s="19">
        <f>SUM(D150:D154)</f>
        <v>2704.489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590.63552873563208</v>
      </c>
    </row>
    <row r="157" spans="1:4" x14ac:dyDescent="0.2">
      <c r="A157" s="100" t="s">
        <v>73</v>
      </c>
      <c r="B157" s="100"/>
      <c r="C157" s="100"/>
      <c r="D157" s="19">
        <f>ROUND(SUM(D155:D156),2)</f>
        <v>3295.12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7"/>
  <sheetViews>
    <sheetView topLeftCell="A13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37" t="s">
        <v>97</v>
      </c>
      <c r="D12" s="25" t="s">
        <v>98</v>
      </c>
    </row>
    <row r="13" spans="1:4" x14ac:dyDescent="0.2">
      <c r="A13" s="112" t="s">
        <v>149</v>
      </c>
      <c r="B13" s="112"/>
      <c r="C13" s="61" t="s">
        <v>105</v>
      </c>
      <c r="D13" s="61">
        <v>22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III - acréscimo em ano eleitoral por 150 dias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f>atend3!C19</f>
        <v>1458.8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38">
        <v>1</v>
      </c>
      <c r="B25" s="100" t="s">
        <v>2</v>
      </c>
      <c r="C25" s="100"/>
      <c r="D25" s="38" t="s">
        <v>3</v>
      </c>
    </row>
    <row r="26" spans="1:4" x14ac:dyDescent="0.2">
      <c r="A26" s="37" t="s">
        <v>4</v>
      </c>
      <c r="B26" s="101" t="s">
        <v>5</v>
      </c>
      <c r="C26" s="101"/>
      <c r="D26" s="9">
        <f>C19</f>
        <v>1458.8</v>
      </c>
    </row>
    <row r="27" spans="1:4" x14ac:dyDescent="0.2">
      <c r="A27" s="37" t="s">
        <v>6</v>
      </c>
      <c r="B27" s="101" t="s">
        <v>7</v>
      </c>
      <c r="C27" s="101"/>
      <c r="D27" s="9"/>
    </row>
    <row r="28" spans="1:4" x14ac:dyDescent="0.2">
      <c r="A28" s="37" t="s">
        <v>8</v>
      </c>
      <c r="B28" s="101" t="s">
        <v>9</v>
      </c>
      <c r="C28" s="101"/>
      <c r="D28" s="9"/>
    </row>
    <row r="29" spans="1:4" x14ac:dyDescent="0.2">
      <c r="A29" s="37" t="s">
        <v>10</v>
      </c>
      <c r="B29" s="101" t="s">
        <v>11</v>
      </c>
      <c r="C29" s="101"/>
      <c r="D29" s="9"/>
    </row>
    <row r="30" spans="1:4" x14ac:dyDescent="0.2">
      <c r="A30" s="37" t="s">
        <v>12</v>
      </c>
      <c r="B30" s="101" t="s">
        <v>13</v>
      </c>
      <c r="C30" s="101"/>
      <c r="D30" s="9"/>
    </row>
    <row r="31" spans="1:4" x14ac:dyDescent="0.2">
      <c r="A31" s="37"/>
      <c r="B31" s="101"/>
      <c r="C31" s="101"/>
      <c r="D31" s="9"/>
    </row>
    <row r="32" spans="1:4" x14ac:dyDescent="0.2">
      <c r="A32" s="3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1458.8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38" t="s">
        <v>19</v>
      </c>
      <c r="B40" s="100" t="s">
        <v>20</v>
      </c>
      <c r="C40" s="100"/>
      <c r="D40" s="38" t="s">
        <v>3</v>
      </c>
    </row>
    <row r="41" spans="1:4" x14ac:dyDescent="0.2">
      <c r="A41" s="37" t="s">
        <v>4</v>
      </c>
      <c r="B41" s="39" t="s">
        <v>21</v>
      </c>
      <c r="C41" s="8">
        <f>TRUNC(1/12,4)</f>
        <v>8.3299999999999999E-2</v>
      </c>
      <c r="D41" s="9">
        <f>TRUNC($D$33*C41,2)</f>
        <v>121.51</v>
      </c>
    </row>
    <row r="42" spans="1:4" x14ac:dyDescent="0.2">
      <c r="A42" s="37" t="s">
        <v>6</v>
      </c>
      <c r="B42" s="39" t="s">
        <v>22</v>
      </c>
      <c r="C42" s="8">
        <f>TRUNC(((1+1/3)/12),4)</f>
        <v>0.1111</v>
      </c>
      <c r="D42" s="9">
        <f>TRUNC($D$33*C42,2)</f>
        <v>162.07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283.58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38" t="s">
        <v>24</v>
      </c>
      <c r="B48" s="38" t="s">
        <v>25</v>
      </c>
      <c r="C48" s="38" t="s">
        <v>26</v>
      </c>
      <c r="D48" s="38" t="s">
        <v>3</v>
      </c>
    </row>
    <row r="49" spans="1:4" x14ac:dyDescent="0.2">
      <c r="A49" s="37" t="s">
        <v>4</v>
      </c>
      <c r="B49" s="39" t="s">
        <v>27</v>
      </c>
      <c r="C49" s="6">
        <v>0.2</v>
      </c>
      <c r="D49" s="9">
        <f>TRUNC(($D$33+$D$43)*C49,2)</f>
        <v>348.47</v>
      </c>
    </row>
    <row r="50" spans="1:4" x14ac:dyDescent="0.2">
      <c r="A50" s="37" t="s">
        <v>6</v>
      </c>
      <c r="B50" s="39" t="s">
        <v>28</v>
      </c>
      <c r="C50" s="6">
        <v>2.5000000000000001E-2</v>
      </c>
      <c r="D50" s="9">
        <f t="shared" ref="D50:D56" si="0">TRUNC(($D$33+$D$43)*C50,2)</f>
        <v>43.55</v>
      </c>
    </row>
    <row r="51" spans="1:4" x14ac:dyDescent="0.2">
      <c r="A51" s="37" t="s">
        <v>8</v>
      </c>
      <c r="B51" s="39" t="s">
        <v>29</v>
      </c>
      <c r="C51" s="12">
        <v>0.03</v>
      </c>
      <c r="D51" s="9">
        <f t="shared" si="0"/>
        <v>52.27</v>
      </c>
    </row>
    <row r="52" spans="1:4" x14ac:dyDescent="0.2">
      <c r="A52" s="37" t="s">
        <v>10</v>
      </c>
      <c r="B52" s="39" t="s">
        <v>30</v>
      </c>
      <c r="C52" s="6">
        <v>1.4999999999999999E-2</v>
      </c>
      <c r="D52" s="9">
        <f t="shared" si="0"/>
        <v>26.13</v>
      </c>
    </row>
    <row r="53" spans="1:4" x14ac:dyDescent="0.2">
      <c r="A53" s="37" t="s">
        <v>12</v>
      </c>
      <c r="B53" s="39" t="s">
        <v>31</v>
      </c>
      <c r="C53" s="6">
        <v>0.01</v>
      </c>
      <c r="D53" s="9">
        <f t="shared" si="0"/>
        <v>17.420000000000002</v>
      </c>
    </row>
    <row r="54" spans="1:4" x14ac:dyDescent="0.2">
      <c r="A54" s="37" t="s">
        <v>32</v>
      </c>
      <c r="B54" s="39" t="s">
        <v>33</v>
      </c>
      <c r="C54" s="6">
        <v>6.0000000000000001E-3</v>
      </c>
      <c r="D54" s="9">
        <f t="shared" si="0"/>
        <v>10.45</v>
      </c>
    </row>
    <row r="55" spans="1:4" x14ac:dyDescent="0.2">
      <c r="A55" s="37" t="s">
        <v>14</v>
      </c>
      <c r="B55" s="39" t="s">
        <v>34</v>
      </c>
      <c r="C55" s="6">
        <v>2E-3</v>
      </c>
      <c r="D55" s="9">
        <f t="shared" si="0"/>
        <v>3.48</v>
      </c>
    </row>
    <row r="56" spans="1:4" x14ac:dyDescent="0.2">
      <c r="A56" s="37" t="s">
        <v>35</v>
      </c>
      <c r="B56" s="39" t="s">
        <v>36</v>
      </c>
      <c r="C56" s="6">
        <v>0.08</v>
      </c>
      <c r="D56" s="9">
        <f t="shared" si="0"/>
        <v>139.38999999999999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641.16000000000008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38" t="s">
        <v>39</v>
      </c>
      <c r="B62" s="104" t="s">
        <v>40</v>
      </c>
      <c r="C62" s="104"/>
      <c r="D62" s="38" t="s">
        <v>3</v>
      </c>
    </row>
    <row r="63" spans="1:4" x14ac:dyDescent="0.2">
      <c r="A63" s="37" t="s">
        <v>4</v>
      </c>
      <c r="B63" s="101" t="s">
        <v>41</v>
      </c>
      <c r="C63" s="101"/>
      <c r="D63" s="9">
        <f>(23*2*4.9)-(D26*0.06)</f>
        <v>137.87200000000001</v>
      </c>
    </row>
    <row r="64" spans="1:4" x14ac:dyDescent="0.2">
      <c r="A64" s="3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37" t="s">
        <v>8</v>
      </c>
      <c r="B65" s="101" t="s">
        <v>112</v>
      </c>
      <c r="C65" s="101"/>
      <c r="D65" s="9">
        <v>122.19</v>
      </c>
    </row>
    <row r="66" spans="1:5" x14ac:dyDescent="0.2">
      <c r="A66" s="37" t="s">
        <v>10</v>
      </c>
      <c r="B66" s="101" t="s">
        <v>113</v>
      </c>
      <c r="C66" s="101"/>
      <c r="D66" s="9">
        <v>11.11</v>
      </c>
    </row>
    <row r="67" spans="1:5" x14ac:dyDescent="0.2">
      <c r="A67" s="3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516.02199999999993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38">
        <v>2</v>
      </c>
      <c r="B73" s="104" t="s">
        <v>44</v>
      </c>
      <c r="C73" s="104"/>
      <c r="D73" s="38" t="s">
        <v>3</v>
      </c>
    </row>
    <row r="74" spans="1:5" x14ac:dyDescent="0.2">
      <c r="A74" s="37" t="s">
        <v>19</v>
      </c>
      <c r="B74" s="101" t="s">
        <v>20</v>
      </c>
      <c r="C74" s="101"/>
      <c r="D74" s="10">
        <f>D43</f>
        <v>283.58</v>
      </c>
    </row>
    <row r="75" spans="1:5" x14ac:dyDescent="0.2">
      <c r="A75" s="37" t="s">
        <v>24</v>
      </c>
      <c r="B75" s="101" t="s">
        <v>25</v>
      </c>
      <c r="C75" s="101"/>
      <c r="D75" s="10">
        <f>D57</f>
        <v>641.16000000000008</v>
      </c>
    </row>
    <row r="76" spans="1:5" x14ac:dyDescent="0.2">
      <c r="A76" s="37" t="s">
        <v>39</v>
      </c>
      <c r="B76" s="101" t="s">
        <v>40</v>
      </c>
      <c r="C76" s="101"/>
      <c r="D76" s="10">
        <f>D68</f>
        <v>516.02199999999993</v>
      </c>
    </row>
    <row r="77" spans="1:5" x14ac:dyDescent="0.2">
      <c r="A77" s="100" t="s">
        <v>16</v>
      </c>
      <c r="B77" s="100"/>
      <c r="C77" s="100"/>
      <c r="D77" s="15">
        <f>SUM(D74:D76)</f>
        <v>1440.7619999999999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38">
        <v>3</v>
      </c>
      <c r="B82" s="104" t="s">
        <v>46</v>
      </c>
      <c r="C82" s="104"/>
      <c r="D82" s="38" t="s">
        <v>3</v>
      </c>
    </row>
    <row r="83" spans="1:5" x14ac:dyDescent="0.2">
      <c r="A83" s="3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3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3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3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3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3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38" t="s">
        <v>53</v>
      </c>
      <c r="B97" s="104" t="s">
        <v>80</v>
      </c>
      <c r="C97" s="104"/>
      <c r="D97" s="38" t="s">
        <v>3</v>
      </c>
    </row>
    <row r="98" spans="1:6" x14ac:dyDescent="0.2">
      <c r="A98" s="37" t="s">
        <v>4</v>
      </c>
      <c r="B98" s="3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37" t="s">
        <v>6</v>
      </c>
      <c r="B99" s="39" t="s">
        <v>82</v>
      </c>
      <c r="C99" s="6">
        <f>TRUNC(((2/30)/12),4)</f>
        <v>5.4999999999999997E-3</v>
      </c>
      <c r="D99" s="9">
        <f t="shared" ref="D99:D103" si="2">TRUNC(($D$33+$D$77+$D$89)*C99,2)</f>
        <v>15.94</v>
      </c>
    </row>
    <row r="100" spans="1:6" x14ac:dyDescent="0.2">
      <c r="A100" s="37" t="s">
        <v>8</v>
      </c>
      <c r="B100" s="3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37" t="s">
        <v>10</v>
      </c>
      <c r="B101" s="3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37" t="s">
        <v>12</v>
      </c>
      <c r="B102" s="3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37" t="s">
        <v>32</v>
      </c>
      <c r="B103" s="3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15.94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38" t="s">
        <v>54</v>
      </c>
      <c r="B109" s="104" t="s">
        <v>88</v>
      </c>
      <c r="C109" s="104"/>
      <c r="D109" s="38" t="s">
        <v>3</v>
      </c>
    </row>
    <row r="110" spans="1:6" x14ac:dyDescent="0.2">
      <c r="A110" s="3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38">
        <v>4</v>
      </c>
      <c r="B116" s="100" t="s">
        <v>56</v>
      </c>
      <c r="C116" s="100"/>
      <c r="D116" s="38" t="s">
        <v>3</v>
      </c>
    </row>
    <row r="117" spans="1:4" x14ac:dyDescent="0.2">
      <c r="A117" s="37" t="s">
        <v>53</v>
      </c>
      <c r="B117" s="101" t="s">
        <v>80</v>
      </c>
      <c r="C117" s="101"/>
      <c r="D117" s="10">
        <f>D104</f>
        <v>15.94</v>
      </c>
    </row>
    <row r="118" spans="1:4" x14ac:dyDescent="0.2">
      <c r="A118" s="3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15.94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38">
        <v>5</v>
      </c>
      <c r="B124" s="106" t="s">
        <v>58</v>
      </c>
      <c r="C124" s="106"/>
      <c r="D124" s="38" t="s">
        <v>3</v>
      </c>
    </row>
    <row r="125" spans="1:4" x14ac:dyDescent="0.2">
      <c r="A125" s="37" t="s">
        <v>4</v>
      </c>
      <c r="B125" s="39" t="s">
        <v>59</v>
      </c>
      <c r="C125" s="39"/>
      <c r="D125" s="9">
        <v>90.82</v>
      </c>
    </row>
    <row r="126" spans="1:4" x14ac:dyDescent="0.2">
      <c r="A126" s="37" t="s">
        <v>6</v>
      </c>
      <c r="B126" s="39" t="s">
        <v>60</v>
      </c>
      <c r="C126" s="39"/>
      <c r="D126" s="9">
        <v>0</v>
      </c>
    </row>
    <row r="127" spans="1:4" x14ac:dyDescent="0.2">
      <c r="A127" s="37" t="s">
        <v>8</v>
      </c>
      <c r="B127" s="39" t="s">
        <v>61</v>
      </c>
      <c r="C127" s="39"/>
      <c r="D127" s="9">
        <v>2.2999999999999998</v>
      </c>
    </row>
    <row r="128" spans="1:4" x14ac:dyDescent="0.2">
      <c r="A128" s="37" t="s">
        <v>10</v>
      </c>
      <c r="B128" s="39" t="s">
        <v>147</v>
      </c>
      <c r="C128" s="3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93.11999999999999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38">
        <v>6</v>
      </c>
      <c r="B134" s="40" t="s">
        <v>63</v>
      </c>
      <c r="C134" s="38" t="s">
        <v>26</v>
      </c>
      <c r="D134" s="38" t="s">
        <v>3</v>
      </c>
    </row>
    <row r="135" spans="1:4" x14ac:dyDescent="0.2">
      <c r="A135" s="37" t="s">
        <v>4</v>
      </c>
      <c r="B135" s="39" t="s">
        <v>64</v>
      </c>
      <c r="C135" s="6">
        <v>0.05</v>
      </c>
      <c r="D135" s="10">
        <f>D155*C135</f>
        <v>150.43109999999999</v>
      </c>
    </row>
    <row r="136" spans="1:4" x14ac:dyDescent="0.2">
      <c r="A136" s="37" t="s">
        <v>6</v>
      </c>
      <c r="B136" s="39" t="s">
        <v>65</v>
      </c>
      <c r="C136" s="6">
        <v>0.06</v>
      </c>
      <c r="D136" s="9">
        <f>(D155+D135)*C136</f>
        <v>189.54318599999996</v>
      </c>
    </row>
    <row r="137" spans="1:4" x14ac:dyDescent="0.2">
      <c r="A137" s="37" t="s">
        <v>8</v>
      </c>
      <c r="B137" s="39" t="s">
        <v>66</v>
      </c>
      <c r="C137" s="8">
        <f>SUM(C138:C143)</f>
        <v>8.6499999999999994E-2</v>
      </c>
      <c r="D137" s="9">
        <f>(D155+D135+D136)*C137/(1-C137)</f>
        <v>317.08109331034478</v>
      </c>
    </row>
    <row r="138" spans="1:4" x14ac:dyDescent="0.2">
      <c r="A138" s="37"/>
      <c r="B138" s="39" t="s">
        <v>67</v>
      </c>
      <c r="C138" s="6"/>
      <c r="D138" s="10">
        <f>$D$157*C138</f>
        <v>0</v>
      </c>
    </row>
    <row r="139" spans="1:4" x14ac:dyDescent="0.2">
      <c r="A139" s="37"/>
      <c r="B139" s="39" t="s">
        <v>102</v>
      </c>
      <c r="C139" s="6">
        <v>6.4999999999999997E-3</v>
      </c>
      <c r="D139" s="10">
        <f t="shared" ref="D139:D143" si="3">$D$157*C139</f>
        <v>23.826919999999998</v>
      </c>
    </row>
    <row r="140" spans="1:4" x14ac:dyDescent="0.2">
      <c r="A140" s="37"/>
      <c r="B140" s="39" t="s">
        <v>103</v>
      </c>
      <c r="C140" s="6">
        <v>0.03</v>
      </c>
      <c r="D140" s="10">
        <f t="shared" si="3"/>
        <v>109.9704</v>
      </c>
    </row>
    <row r="141" spans="1:4" x14ac:dyDescent="0.2">
      <c r="A141" s="37"/>
      <c r="B141" s="39" t="s">
        <v>68</v>
      </c>
      <c r="C141" s="37"/>
      <c r="D141" s="10">
        <f t="shared" si="3"/>
        <v>0</v>
      </c>
    </row>
    <row r="142" spans="1:4" x14ac:dyDescent="0.2">
      <c r="A142" s="37"/>
      <c r="B142" s="39" t="s">
        <v>69</v>
      </c>
      <c r="C142" s="6"/>
      <c r="D142" s="10">
        <f t="shared" si="3"/>
        <v>0</v>
      </c>
    </row>
    <row r="143" spans="1:4" x14ac:dyDescent="0.2">
      <c r="A143" s="37"/>
      <c r="B143" s="39" t="s">
        <v>104</v>
      </c>
      <c r="C143" s="6">
        <v>0.05</v>
      </c>
      <c r="D143" s="10">
        <f t="shared" si="3"/>
        <v>183.28399999999999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657.05537931034473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38"/>
      <c r="B149" s="100" t="s">
        <v>71</v>
      </c>
      <c r="C149" s="100"/>
      <c r="D149" s="38" t="s">
        <v>3</v>
      </c>
    </row>
    <row r="150" spans="1:4" x14ac:dyDescent="0.2">
      <c r="A150" s="38" t="s">
        <v>4</v>
      </c>
      <c r="B150" s="101" t="s">
        <v>1</v>
      </c>
      <c r="C150" s="101"/>
      <c r="D150" s="18">
        <f>D33</f>
        <v>1458.8</v>
      </c>
    </row>
    <row r="151" spans="1:4" x14ac:dyDescent="0.2">
      <c r="A151" s="38" t="s">
        <v>6</v>
      </c>
      <c r="B151" s="101" t="s">
        <v>17</v>
      </c>
      <c r="C151" s="101"/>
      <c r="D151" s="18">
        <f>D77</f>
        <v>1440.7619999999999</v>
      </c>
    </row>
    <row r="152" spans="1:4" x14ac:dyDescent="0.2">
      <c r="A152" s="3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38" t="s">
        <v>10</v>
      </c>
      <c r="B153" s="101" t="s">
        <v>52</v>
      </c>
      <c r="C153" s="101"/>
      <c r="D153" s="18">
        <f>D119</f>
        <v>15.94</v>
      </c>
    </row>
    <row r="154" spans="1:4" x14ac:dyDescent="0.2">
      <c r="A154" s="38" t="s">
        <v>12</v>
      </c>
      <c r="B154" s="101" t="s">
        <v>57</v>
      </c>
      <c r="C154" s="101"/>
      <c r="D154" s="18">
        <f>D129</f>
        <v>93.11999999999999</v>
      </c>
    </row>
    <row r="155" spans="1:4" x14ac:dyDescent="0.2">
      <c r="A155" s="100" t="s">
        <v>101</v>
      </c>
      <c r="B155" s="100"/>
      <c r="C155" s="100"/>
      <c r="D155" s="19">
        <f>SUM(D150:D154)</f>
        <v>3008.6219999999998</v>
      </c>
    </row>
    <row r="156" spans="1:4" x14ac:dyDescent="0.2">
      <c r="A156" s="38" t="s">
        <v>32</v>
      </c>
      <c r="B156" s="101" t="s">
        <v>72</v>
      </c>
      <c r="C156" s="101"/>
      <c r="D156" s="20">
        <f>D144</f>
        <v>657.05537931034473</v>
      </c>
    </row>
    <row r="157" spans="1:4" x14ac:dyDescent="0.2">
      <c r="A157" s="100" t="s">
        <v>73</v>
      </c>
      <c r="B157" s="100"/>
      <c r="C157" s="100"/>
      <c r="D157" s="19">
        <f>ROUND(SUM(D155:D156),2)</f>
        <v>3665.68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6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115</v>
      </c>
      <c r="B13" s="112"/>
      <c r="C13" s="61" t="s">
        <v>105</v>
      </c>
      <c r="D13" s="61">
        <v>2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">
        <v>108</v>
      </c>
      <c r="D17" s="96"/>
    </row>
    <row r="18" spans="1:4" x14ac:dyDescent="0.2">
      <c r="A18" s="5">
        <v>2</v>
      </c>
      <c r="B18" s="5" t="s">
        <v>99</v>
      </c>
      <c r="C18" s="95" t="s">
        <v>170</v>
      </c>
      <c r="D18" s="96"/>
    </row>
    <row r="19" spans="1:4" x14ac:dyDescent="0.2">
      <c r="A19" s="5">
        <v>3</v>
      </c>
      <c r="B19" s="5" t="s">
        <v>76</v>
      </c>
      <c r="C19" s="97">
        <f>auxsuperv!C19</f>
        <v>1465.12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1465.12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1465.12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122.04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162.77000000000001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284.81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349.98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43.74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52.49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26.24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17.489999999999998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10.49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3.49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139.99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643.91000000000008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137.49280000000002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515.64280000000008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284.81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643.91000000000008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515.64280000000008</v>
      </c>
    </row>
    <row r="77" spans="1:5" x14ac:dyDescent="0.2">
      <c r="A77" s="100" t="s">
        <v>16</v>
      </c>
      <c r="B77" s="100"/>
      <c r="C77" s="100"/>
      <c r="D77" s="15">
        <f>SUM(D74:D76)</f>
        <v>1444.3628000000001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2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16</v>
      </c>
    </row>
    <row r="100" spans="1:6" x14ac:dyDescent="0.2">
      <c r="A100" s="27" t="s">
        <v>8</v>
      </c>
      <c r="B100" s="2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27" t="s">
        <v>10</v>
      </c>
      <c r="B101" s="2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27" t="s">
        <v>12</v>
      </c>
      <c r="B102" s="2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16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16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16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90.82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90.82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150.81514000000001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190.0270764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317.89057900229886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23.88776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110.2512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183.75200000000001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658.73279540229885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1465.12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1444.3628000000001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16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90.82</v>
      </c>
    </row>
    <row r="155" spans="1:4" x14ac:dyDescent="0.2">
      <c r="A155" s="100" t="s">
        <v>101</v>
      </c>
      <c r="B155" s="100"/>
      <c r="C155" s="100"/>
      <c r="D155" s="19">
        <f>SUM(D150:D154)</f>
        <v>3016.3027999999999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658.73279540229885</v>
      </c>
    </row>
    <row r="157" spans="1:4" x14ac:dyDescent="0.2">
      <c r="A157" s="100" t="s">
        <v>73</v>
      </c>
      <c r="B157" s="100"/>
      <c r="C157" s="100"/>
      <c r="D157" s="19">
        <f>ROUND(SUM(D155:D156),2)</f>
        <v>3675.04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4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116</v>
      </c>
      <c r="B13" s="112"/>
      <c r="C13" s="61" t="s">
        <v>105</v>
      </c>
      <c r="D13" s="61">
        <v>10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">
        <v>110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f>telef!C19</f>
        <v>1298.42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1298.42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1298.42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108.15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144.25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252.4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310.16000000000003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38.770000000000003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46.52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23.26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15.5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9.3000000000000007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3.1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124.06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570.67000000000007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147.4948</v>
      </c>
    </row>
    <row r="64" spans="1:4" x14ac:dyDescent="0.2">
      <c r="A64" s="27" t="s">
        <v>6</v>
      </c>
      <c r="B64" s="101" t="s">
        <v>42</v>
      </c>
      <c r="C64" s="101"/>
      <c r="D64" s="9">
        <v>0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284.60480000000001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252.4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570.67000000000007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284.60480000000001</v>
      </c>
    </row>
    <row r="77" spans="1:5" x14ac:dyDescent="0.2">
      <c r="A77" s="100" t="s">
        <v>16</v>
      </c>
      <c r="B77" s="100"/>
      <c r="C77" s="100"/>
      <c r="D77" s="15">
        <f>SUM(D74:D76)</f>
        <v>1107.6748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2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13.23</v>
      </c>
    </row>
    <row r="100" spans="1:6" x14ac:dyDescent="0.2">
      <c r="A100" s="27" t="s">
        <v>8</v>
      </c>
      <c r="B100" s="2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27" t="s">
        <v>10</v>
      </c>
      <c r="B101" s="2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27" t="s">
        <v>12</v>
      </c>
      <c r="B102" s="2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13.23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13.23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13.23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90.82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2.2999999999999998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93.11999999999999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125.62223999999999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158.2840224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264.78857897931033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19.897409999999997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91.834199999999996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153.05699999999999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548.69484137931033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1298.42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1107.6748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13.23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93.11999999999999</v>
      </c>
    </row>
    <row r="155" spans="1:4" x14ac:dyDescent="0.2">
      <c r="A155" s="100" t="s">
        <v>101</v>
      </c>
      <c r="B155" s="100"/>
      <c r="C155" s="100"/>
      <c r="D155" s="19">
        <f>SUM(D150:D154)</f>
        <v>2512.4447999999998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548.69484137931033</v>
      </c>
    </row>
    <row r="157" spans="1:4" x14ac:dyDescent="0.2">
      <c r="A157" s="100" t="s">
        <v>73</v>
      </c>
      <c r="B157" s="100"/>
      <c r="C157" s="100"/>
      <c r="D157" s="19">
        <f>ROUND(SUM(D155:D156),2)</f>
        <v>3061.14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56"/>
  <sheetViews>
    <sheetView tabSelected="1" topLeftCell="A4" zoomScaleNormal="100" workbookViewId="0">
      <selection activeCell="C17" sqref="C17"/>
    </sheetView>
  </sheetViews>
  <sheetFormatPr defaultColWidth="9.140625" defaultRowHeight="15" x14ac:dyDescent="0.25"/>
  <cols>
    <col min="1" max="1" width="29" style="31" customWidth="1"/>
    <col min="2" max="15" width="12.7109375" style="31" customWidth="1"/>
    <col min="16" max="16" width="9.140625" style="31"/>
    <col min="17" max="17" width="10.85546875" style="31" customWidth="1"/>
    <col min="18" max="18" width="9.140625" style="31"/>
    <col min="19" max="19" width="11.85546875" style="31" customWidth="1"/>
    <col min="20" max="1010" width="9.140625" style="31"/>
    <col min="1011" max="16384" width="9.140625" style="32"/>
  </cols>
  <sheetData>
    <row r="1" spans="1:1022" x14ac:dyDescent="0.25">
      <c r="A1" s="31" t="s">
        <v>129</v>
      </c>
    </row>
    <row r="2" spans="1:1022" x14ac:dyDescent="0.25">
      <c r="A2" s="32"/>
    </row>
    <row r="3" spans="1:1022" x14ac:dyDescent="0.25">
      <c r="A3" s="87" t="s">
        <v>171</v>
      </c>
    </row>
    <row r="4" spans="1:1022" s="34" customFormat="1" x14ac:dyDescent="0.25">
      <c r="A4" s="67" t="s">
        <v>117</v>
      </c>
      <c r="B4" s="113" t="str">
        <f>atend1!A13</f>
        <v>Atendente I</v>
      </c>
      <c r="C4" s="113"/>
      <c r="D4" s="113" t="str">
        <f>atend2!A13</f>
        <v>Atendente II</v>
      </c>
      <c r="E4" s="113"/>
      <c r="F4" s="113" t="str">
        <f>atend3!A13</f>
        <v>Atendente III</v>
      </c>
      <c r="G4" s="113"/>
      <c r="H4" s="113" t="str">
        <f>atend4!A13</f>
        <v>Atendente IV (LIBRAS)</v>
      </c>
      <c r="I4" s="113"/>
      <c r="J4" s="113" t="str">
        <f>auxsuperv!A13</f>
        <v>Auxiliar de Supervisão</v>
      </c>
      <c r="K4" s="113"/>
      <c r="L4" s="113" t="str">
        <f>superv!A13</f>
        <v>Supervisor</v>
      </c>
      <c r="M4" s="113"/>
      <c r="N4" s="113" t="str">
        <f>telef!A13</f>
        <v>Telefonista</v>
      </c>
      <c r="O4" s="11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  <c r="HT4" s="33"/>
      <c r="HU4" s="33"/>
      <c r="HV4" s="33"/>
      <c r="HW4" s="33"/>
      <c r="HX4" s="33"/>
      <c r="HY4" s="33"/>
      <c r="HZ4" s="33"/>
      <c r="IA4" s="33"/>
      <c r="IB4" s="33"/>
      <c r="IC4" s="33"/>
      <c r="ID4" s="33"/>
      <c r="IE4" s="33"/>
      <c r="IF4" s="33"/>
      <c r="IG4" s="33"/>
      <c r="IH4" s="33"/>
      <c r="II4" s="33"/>
      <c r="IJ4" s="33"/>
      <c r="IK4" s="33"/>
      <c r="IL4" s="33"/>
      <c r="IM4" s="33"/>
      <c r="IN4" s="33"/>
      <c r="IO4" s="33"/>
      <c r="IP4" s="33"/>
      <c r="IQ4" s="33"/>
      <c r="IR4" s="33"/>
      <c r="IS4" s="33"/>
      <c r="IT4" s="33"/>
      <c r="IU4" s="33"/>
      <c r="IV4" s="33"/>
      <c r="IW4" s="33"/>
      <c r="IX4" s="33"/>
      <c r="IY4" s="33"/>
      <c r="IZ4" s="33"/>
      <c r="JA4" s="33"/>
      <c r="JB4" s="33"/>
      <c r="JC4" s="33"/>
      <c r="JD4" s="33"/>
      <c r="JE4" s="33"/>
      <c r="JF4" s="33"/>
      <c r="JG4" s="33"/>
      <c r="JH4" s="33"/>
      <c r="JI4" s="33"/>
      <c r="JJ4" s="33"/>
      <c r="JK4" s="33"/>
      <c r="JL4" s="33"/>
      <c r="JM4" s="33"/>
      <c r="JN4" s="33"/>
      <c r="JO4" s="33"/>
      <c r="JP4" s="33"/>
      <c r="JQ4" s="33"/>
      <c r="JR4" s="33"/>
      <c r="JS4" s="33"/>
      <c r="JT4" s="33"/>
      <c r="JU4" s="33"/>
      <c r="JV4" s="33"/>
      <c r="JW4" s="33"/>
      <c r="JX4" s="33"/>
      <c r="JY4" s="33"/>
      <c r="JZ4" s="33"/>
      <c r="KA4" s="33"/>
      <c r="KB4" s="33"/>
      <c r="KC4" s="33"/>
      <c r="KD4" s="33"/>
      <c r="KE4" s="33"/>
      <c r="KF4" s="33"/>
      <c r="KG4" s="33"/>
      <c r="KH4" s="33"/>
      <c r="KI4" s="33"/>
      <c r="KJ4" s="33"/>
      <c r="KK4" s="33"/>
      <c r="KL4" s="33"/>
      <c r="KM4" s="33"/>
      <c r="KN4" s="33"/>
      <c r="KO4" s="33"/>
      <c r="KP4" s="33"/>
      <c r="KQ4" s="33"/>
      <c r="KR4" s="33"/>
      <c r="KS4" s="33"/>
      <c r="KT4" s="33"/>
      <c r="KU4" s="33"/>
      <c r="KV4" s="33"/>
      <c r="KW4" s="33"/>
      <c r="KX4" s="33"/>
      <c r="KY4" s="33"/>
      <c r="KZ4" s="33"/>
      <c r="LA4" s="33"/>
      <c r="LB4" s="33"/>
      <c r="LC4" s="33"/>
      <c r="LD4" s="33"/>
      <c r="LE4" s="33"/>
      <c r="LF4" s="33"/>
      <c r="LG4" s="33"/>
      <c r="LH4" s="33"/>
      <c r="LI4" s="33"/>
      <c r="LJ4" s="33"/>
      <c r="LK4" s="33"/>
      <c r="LL4" s="33"/>
      <c r="LM4" s="33"/>
      <c r="LN4" s="33"/>
      <c r="LO4" s="33"/>
      <c r="LP4" s="33"/>
      <c r="LQ4" s="33"/>
      <c r="LR4" s="33"/>
      <c r="LS4" s="33"/>
      <c r="LT4" s="33"/>
      <c r="LU4" s="33"/>
      <c r="LV4" s="33"/>
      <c r="LW4" s="33"/>
      <c r="LX4" s="33"/>
      <c r="LY4" s="33"/>
      <c r="LZ4" s="33"/>
      <c r="MA4" s="33"/>
      <c r="MB4" s="33"/>
      <c r="MC4" s="33"/>
      <c r="MD4" s="33"/>
      <c r="ME4" s="33"/>
      <c r="MF4" s="33"/>
      <c r="MG4" s="33"/>
      <c r="MH4" s="33"/>
      <c r="MI4" s="33"/>
      <c r="MJ4" s="33"/>
      <c r="MK4" s="33"/>
      <c r="ML4" s="33"/>
      <c r="MM4" s="33"/>
      <c r="MN4" s="33"/>
      <c r="MO4" s="33"/>
      <c r="MP4" s="33"/>
      <c r="MQ4" s="33"/>
      <c r="MR4" s="33"/>
      <c r="MS4" s="33"/>
      <c r="MT4" s="33"/>
      <c r="MU4" s="33"/>
      <c r="MV4" s="33"/>
      <c r="MW4" s="33"/>
      <c r="MX4" s="33"/>
      <c r="MY4" s="33"/>
      <c r="MZ4" s="33"/>
      <c r="NA4" s="33"/>
      <c r="NB4" s="33"/>
      <c r="NC4" s="33"/>
      <c r="ND4" s="33"/>
      <c r="NE4" s="33"/>
      <c r="NF4" s="33"/>
      <c r="NG4" s="33"/>
      <c r="NH4" s="33"/>
      <c r="NI4" s="33"/>
      <c r="NJ4" s="33"/>
      <c r="NK4" s="33"/>
      <c r="NL4" s="33"/>
      <c r="NM4" s="33"/>
      <c r="NN4" s="33"/>
      <c r="NO4" s="33"/>
      <c r="NP4" s="33"/>
      <c r="NQ4" s="33"/>
      <c r="NR4" s="33"/>
      <c r="NS4" s="33"/>
      <c r="NT4" s="33"/>
      <c r="NU4" s="33"/>
      <c r="NV4" s="33"/>
      <c r="NW4" s="33"/>
      <c r="NX4" s="33"/>
      <c r="NY4" s="33"/>
      <c r="NZ4" s="33"/>
      <c r="OA4" s="33"/>
      <c r="OB4" s="33"/>
      <c r="OC4" s="33"/>
      <c r="OD4" s="33"/>
      <c r="OE4" s="33"/>
      <c r="OF4" s="33"/>
      <c r="OG4" s="33"/>
      <c r="OH4" s="33"/>
      <c r="OI4" s="33"/>
      <c r="OJ4" s="33"/>
      <c r="OK4" s="33"/>
      <c r="OL4" s="33"/>
      <c r="OM4" s="33"/>
      <c r="ON4" s="33"/>
      <c r="OO4" s="33"/>
      <c r="OP4" s="33"/>
      <c r="OQ4" s="33"/>
      <c r="OR4" s="33"/>
      <c r="OS4" s="33"/>
      <c r="OT4" s="33"/>
      <c r="OU4" s="33"/>
      <c r="OV4" s="33"/>
      <c r="OW4" s="33"/>
      <c r="OX4" s="33"/>
      <c r="OY4" s="33"/>
      <c r="OZ4" s="33"/>
      <c r="PA4" s="33"/>
      <c r="PB4" s="33"/>
      <c r="PC4" s="33"/>
      <c r="PD4" s="33"/>
      <c r="PE4" s="33"/>
      <c r="PF4" s="33"/>
      <c r="PG4" s="33"/>
      <c r="PH4" s="33"/>
      <c r="PI4" s="33"/>
      <c r="PJ4" s="33"/>
      <c r="PK4" s="33"/>
      <c r="PL4" s="33"/>
      <c r="PM4" s="33"/>
      <c r="PN4" s="33"/>
      <c r="PO4" s="33"/>
      <c r="PP4" s="33"/>
      <c r="PQ4" s="33"/>
      <c r="PR4" s="33"/>
      <c r="PS4" s="33"/>
      <c r="PT4" s="33"/>
      <c r="PU4" s="33"/>
      <c r="PV4" s="33"/>
      <c r="PW4" s="33"/>
      <c r="PX4" s="33"/>
      <c r="PY4" s="33"/>
      <c r="PZ4" s="33"/>
      <c r="QA4" s="33"/>
      <c r="QB4" s="33"/>
      <c r="QC4" s="33"/>
      <c r="QD4" s="33"/>
      <c r="QE4" s="33"/>
      <c r="QF4" s="33"/>
      <c r="QG4" s="33"/>
      <c r="QH4" s="33"/>
      <c r="QI4" s="33"/>
      <c r="QJ4" s="33"/>
      <c r="QK4" s="33"/>
      <c r="QL4" s="33"/>
      <c r="QM4" s="33"/>
      <c r="QN4" s="33"/>
      <c r="QO4" s="33"/>
      <c r="QP4" s="33"/>
      <c r="QQ4" s="33"/>
      <c r="QR4" s="33"/>
      <c r="QS4" s="33"/>
      <c r="QT4" s="33"/>
      <c r="QU4" s="33"/>
      <c r="QV4" s="33"/>
      <c r="QW4" s="33"/>
      <c r="QX4" s="33"/>
      <c r="QY4" s="33"/>
      <c r="QZ4" s="33"/>
      <c r="RA4" s="33"/>
      <c r="RB4" s="33"/>
      <c r="RC4" s="33"/>
      <c r="RD4" s="33"/>
      <c r="RE4" s="33"/>
      <c r="RF4" s="33"/>
      <c r="RG4" s="33"/>
      <c r="RH4" s="33"/>
      <c r="RI4" s="33"/>
      <c r="RJ4" s="33"/>
      <c r="RK4" s="33"/>
      <c r="RL4" s="33"/>
      <c r="RM4" s="33"/>
      <c r="RN4" s="33"/>
      <c r="RO4" s="33"/>
      <c r="RP4" s="33"/>
      <c r="RQ4" s="33"/>
      <c r="RR4" s="33"/>
      <c r="RS4" s="33"/>
      <c r="RT4" s="33"/>
      <c r="RU4" s="33"/>
      <c r="RV4" s="33"/>
      <c r="RW4" s="33"/>
      <c r="RX4" s="33"/>
      <c r="RY4" s="33"/>
      <c r="RZ4" s="33"/>
      <c r="SA4" s="33"/>
      <c r="SB4" s="33"/>
      <c r="SC4" s="33"/>
      <c r="SD4" s="33"/>
      <c r="SE4" s="33"/>
      <c r="SF4" s="33"/>
      <c r="SG4" s="33"/>
      <c r="SH4" s="33"/>
      <c r="SI4" s="33"/>
      <c r="SJ4" s="33"/>
      <c r="SK4" s="33"/>
      <c r="SL4" s="33"/>
      <c r="SM4" s="33"/>
      <c r="SN4" s="33"/>
      <c r="SO4" s="33"/>
      <c r="SP4" s="33"/>
      <c r="SQ4" s="33"/>
      <c r="SR4" s="33"/>
      <c r="SS4" s="33"/>
      <c r="ST4" s="33"/>
      <c r="SU4" s="33"/>
      <c r="SV4" s="33"/>
      <c r="SW4" s="33"/>
      <c r="SX4" s="33"/>
      <c r="SY4" s="33"/>
      <c r="SZ4" s="33"/>
      <c r="TA4" s="33"/>
      <c r="TB4" s="33"/>
      <c r="TC4" s="33"/>
      <c r="TD4" s="33"/>
      <c r="TE4" s="33"/>
      <c r="TF4" s="33"/>
      <c r="TG4" s="33"/>
      <c r="TH4" s="33"/>
      <c r="TI4" s="33"/>
      <c r="TJ4" s="33"/>
      <c r="TK4" s="33"/>
      <c r="TL4" s="33"/>
      <c r="TM4" s="33"/>
      <c r="TN4" s="33"/>
      <c r="TO4" s="33"/>
      <c r="TP4" s="33"/>
      <c r="TQ4" s="33"/>
      <c r="TR4" s="33"/>
      <c r="TS4" s="33"/>
      <c r="TT4" s="33"/>
      <c r="TU4" s="33"/>
      <c r="TV4" s="33"/>
      <c r="TW4" s="33"/>
      <c r="TX4" s="33"/>
      <c r="TY4" s="33"/>
      <c r="TZ4" s="33"/>
      <c r="UA4" s="33"/>
      <c r="UB4" s="33"/>
      <c r="UC4" s="33"/>
      <c r="UD4" s="33"/>
      <c r="UE4" s="33"/>
      <c r="UF4" s="33"/>
      <c r="UG4" s="33"/>
      <c r="UH4" s="33"/>
      <c r="UI4" s="33"/>
      <c r="UJ4" s="33"/>
      <c r="UK4" s="33"/>
      <c r="UL4" s="33"/>
      <c r="UM4" s="33"/>
      <c r="UN4" s="33"/>
      <c r="UO4" s="33"/>
      <c r="UP4" s="33"/>
      <c r="UQ4" s="33"/>
      <c r="UR4" s="33"/>
      <c r="US4" s="33"/>
      <c r="UT4" s="33"/>
      <c r="UU4" s="33"/>
      <c r="UV4" s="33"/>
      <c r="UW4" s="33"/>
      <c r="UX4" s="33"/>
      <c r="UY4" s="33"/>
      <c r="UZ4" s="33"/>
      <c r="VA4" s="33"/>
      <c r="VB4" s="33"/>
      <c r="VC4" s="33"/>
      <c r="VD4" s="33"/>
      <c r="VE4" s="33"/>
      <c r="VF4" s="33"/>
      <c r="VG4" s="33"/>
      <c r="VH4" s="33"/>
      <c r="VI4" s="33"/>
      <c r="VJ4" s="33"/>
      <c r="VK4" s="33"/>
      <c r="VL4" s="33"/>
      <c r="VM4" s="33"/>
      <c r="VN4" s="33"/>
      <c r="VO4" s="33"/>
      <c r="VP4" s="33"/>
      <c r="VQ4" s="33"/>
      <c r="VR4" s="33"/>
      <c r="VS4" s="33"/>
      <c r="VT4" s="33"/>
      <c r="VU4" s="33"/>
      <c r="VV4" s="33"/>
      <c r="VW4" s="33"/>
      <c r="VX4" s="33"/>
      <c r="VY4" s="33"/>
      <c r="VZ4" s="33"/>
      <c r="WA4" s="33"/>
      <c r="WB4" s="33"/>
      <c r="WC4" s="33"/>
      <c r="WD4" s="33"/>
      <c r="WE4" s="33"/>
      <c r="WF4" s="33"/>
      <c r="WG4" s="33"/>
      <c r="WH4" s="33"/>
      <c r="WI4" s="33"/>
      <c r="WJ4" s="33"/>
      <c r="WK4" s="33"/>
      <c r="WL4" s="33"/>
      <c r="WM4" s="33"/>
      <c r="WN4" s="33"/>
      <c r="WO4" s="33"/>
      <c r="WP4" s="33"/>
      <c r="WQ4" s="33"/>
      <c r="WR4" s="33"/>
      <c r="WS4" s="33"/>
      <c r="WT4" s="33"/>
      <c r="WU4" s="33"/>
      <c r="WV4" s="33"/>
      <c r="WW4" s="33"/>
      <c r="WX4" s="33"/>
      <c r="WY4" s="33"/>
      <c r="WZ4" s="33"/>
      <c r="XA4" s="33"/>
      <c r="XB4" s="33"/>
      <c r="XC4" s="33"/>
      <c r="XD4" s="33"/>
      <c r="XE4" s="33"/>
      <c r="XF4" s="33"/>
      <c r="XG4" s="33"/>
      <c r="XH4" s="33"/>
      <c r="XI4" s="33"/>
      <c r="XJ4" s="33"/>
      <c r="XK4" s="33"/>
      <c r="XL4" s="33"/>
      <c r="XM4" s="33"/>
      <c r="XN4" s="33"/>
      <c r="XO4" s="33"/>
      <c r="XP4" s="33"/>
      <c r="XQ4" s="33"/>
      <c r="XR4" s="33"/>
      <c r="XS4" s="33"/>
      <c r="XT4" s="33"/>
      <c r="XU4" s="33"/>
      <c r="XV4" s="33"/>
      <c r="XW4" s="33"/>
      <c r="XX4" s="33"/>
      <c r="XY4" s="33"/>
      <c r="XZ4" s="33"/>
      <c r="YA4" s="33"/>
      <c r="YB4" s="33"/>
      <c r="YC4" s="33"/>
      <c r="YD4" s="33"/>
      <c r="YE4" s="33"/>
      <c r="YF4" s="33"/>
      <c r="YG4" s="33"/>
      <c r="YH4" s="33"/>
      <c r="YI4" s="33"/>
      <c r="YJ4" s="33"/>
      <c r="YK4" s="33"/>
      <c r="YL4" s="33"/>
      <c r="YM4" s="33"/>
      <c r="YN4" s="33"/>
      <c r="YO4" s="33"/>
      <c r="YP4" s="33"/>
      <c r="YQ4" s="33"/>
      <c r="YR4" s="33"/>
      <c r="YS4" s="33"/>
      <c r="YT4" s="33"/>
      <c r="YU4" s="33"/>
      <c r="YV4" s="33"/>
      <c r="YW4" s="33"/>
      <c r="YX4" s="33"/>
      <c r="YY4" s="33"/>
      <c r="YZ4" s="33"/>
      <c r="ZA4" s="33"/>
      <c r="ZB4" s="33"/>
      <c r="ZC4" s="33"/>
      <c r="ZD4" s="33"/>
      <c r="ZE4" s="33"/>
      <c r="ZF4" s="33"/>
      <c r="ZG4" s="33"/>
      <c r="ZH4" s="33"/>
      <c r="ZI4" s="33"/>
      <c r="ZJ4" s="33"/>
      <c r="ZK4" s="33"/>
      <c r="ZL4" s="33"/>
      <c r="ZM4" s="33"/>
      <c r="ZN4" s="33"/>
      <c r="ZO4" s="33"/>
      <c r="ZP4" s="33"/>
      <c r="ZQ4" s="33"/>
      <c r="ZR4" s="33"/>
      <c r="ZS4" s="33"/>
      <c r="ZT4" s="33"/>
      <c r="ZU4" s="33"/>
      <c r="ZV4" s="33"/>
      <c r="ZW4" s="33"/>
      <c r="ZX4" s="33"/>
      <c r="ZY4" s="33"/>
      <c r="ZZ4" s="33"/>
      <c r="AAA4" s="33"/>
      <c r="AAB4" s="33"/>
      <c r="AAC4" s="33"/>
      <c r="AAD4" s="33"/>
      <c r="AAE4" s="33"/>
      <c r="AAF4" s="33"/>
      <c r="AAG4" s="33"/>
      <c r="AAH4" s="33"/>
      <c r="AAI4" s="33"/>
      <c r="AAJ4" s="33"/>
      <c r="AAK4" s="33"/>
      <c r="AAL4" s="33"/>
      <c r="AAM4" s="33"/>
      <c r="AAN4" s="33"/>
      <c r="AAO4" s="33"/>
      <c r="AAP4" s="33"/>
      <c r="AAQ4" s="33"/>
      <c r="AAR4" s="33"/>
      <c r="AAS4" s="33"/>
      <c r="AAT4" s="33"/>
      <c r="AAU4" s="33"/>
      <c r="AAV4" s="33"/>
      <c r="AAW4" s="33"/>
      <c r="AAX4" s="33"/>
      <c r="AAY4" s="33"/>
      <c r="AAZ4" s="33"/>
      <c r="ABA4" s="33"/>
      <c r="ABB4" s="33"/>
      <c r="ABC4" s="33"/>
      <c r="ABD4" s="33"/>
      <c r="ABE4" s="33"/>
      <c r="ABF4" s="33"/>
      <c r="ABG4" s="33"/>
      <c r="ABH4" s="33"/>
      <c r="ABI4" s="33"/>
      <c r="ABJ4" s="33"/>
      <c r="ABK4" s="33"/>
      <c r="ABL4" s="33"/>
      <c r="ABM4" s="33"/>
      <c r="ABN4" s="33"/>
      <c r="ABO4" s="33"/>
      <c r="ABP4" s="33"/>
      <c r="ABQ4" s="33"/>
      <c r="ABR4" s="33"/>
      <c r="ABS4" s="33"/>
      <c r="ABT4" s="33"/>
      <c r="ABU4" s="33"/>
      <c r="ABV4" s="33"/>
      <c r="ABW4" s="33"/>
      <c r="ABX4" s="33"/>
      <c r="ABY4" s="33"/>
      <c r="ABZ4" s="33"/>
      <c r="ACA4" s="33"/>
      <c r="ACB4" s="33"/>
      <c r="ACC4" s="33"/>
      <c r="ACD4" s="33"/>
      <c r="ACE4" s="33"/>
      <c r="ACF4" s="33"/>
      <c r="ACG4" s="33"/>
      <c r="ACH4" s="33"/>
      <c r="ACI4" s="33"/>
      <c r="ACJ4" s="33"/>
      <c r="ACK4" s="33"/>
      <c r="ACL4" s="33"/>
      <c r="ACM4" s="33"/>
      <c r="ACN4" s="33"/>
      <c r="ACO4" s="33"/>
      <c r="ACP4" s="33"/>
      <c r="ACQ4" s="33"/>
      <c r="ACR4" s="33"/>
      <c r="ACS4" s="33"/>
      <c r="ACT4" s="33"/>
      <c r="ACU4" s="33"/>
      <c r="ACV4" s="33"/>
      <c r="ACW4" s="33"/>
      <c r="ACX4" s="33"/>
      <c r="ACY4" s="33"/>
      <c r="ACZ4" s="33"/>
      <c r="ADA4" s="33"/>
      <c r="ADB4" s="33"/>
      <c r="ADC4" s="33"/>
      <c r="ADD4" s="33"/>
      <c r="ADE4" s="33"/>
      <c r="ADF4" s="33"/>
      <c r="ADG4" s="33"/>
      <c r="ADH4" s="33"/>
      <c r="ADI4" s="33"/>
      <c r="ADJ4" s="33"/>
      <c r="ADK4" s="33"/>
      <c r="ADL4" s="33"/>
      <c r="ADM4" s="33"/>
      <c r="ADN4" s="33"/>
      <c r="ADO4" s="33"/>
      <c r="ADP4" s="33"/>
      <c r="ADQ4" s="33"/>
      <c r="ADR4" s="33"/>
      <c r="ADS4" s="33"/>
      <c r="ADT4" s="33"/>
      <c r="ADU4" s="33"/>
      <c r="ADV4" s="33"/>
      <c r="ADW4" s="33"/>
      <c r="ADX4" s="33"/>
      <c r="ADY4" s="33"/>
      <c r="ADZ4" s="33"/>
      <c r="AEA4" s="33"/>
      <c r="AEB4" s="33"/>
      <c r="AEC4" s="33"/>
      <c r="AED4" s="33"/>
      <c r="AEE4" s="33"/>
      <c r="AEF4" s="33"/>
      <c r="AEG4" s="33"/>
      <c r="AEH4" s="33"/>
      <c r="AEI4" s="33"/>
      <c r="AEJ4" s="33"/>
      <c r="AEK4" s="33"/>
      <c r="AEL4" s="33"/>
      <c r="AEM4" s="33"/>
      <c r="AEN4" s="33"/>
      <c r="AEO4" s="33"/>
      <c r="AEP4" s="33"/>
      <c r="AEQ4" s="33"/>
      <c r="AER4" s="33"/>
      <c r="AES4" s="33"/>
      <c r="AET4" s="33"/>
      <c r="AEU4" s="33"/>
      <c r="AEV4" s="33"/>
      <c r="AEW4" s="33"/>
      <c r="AEX4" s="33"/>
      <c r="AEY4" s="33"/>
      <c r="AEZ4" s="33"/>
      <c r="AFA4" s="33"/>
      <c r="AFB4" s="33"/>
      <c r="AFC4" s="33"/>
      <c r="AFD4" s="33"/>
      <c r="AFE4" s="33"/>
      <c r="AFF4" s="33"/>
      <c r="AFG4" s="33"/>
      <c r="AFH4" s="33"/>
      <c r="AFI4" s="33"/>
      <c r="AFJ4" s="33"/>
      <c r="AFK4" s="33"/>
      <c r="AFL4" s="33"/>
      <c r="AFM4" s="33"/>
      <c r="AFN4" s="33"/>
      <c r="AFO4" s="33"/>
      <c r="AFP4" s="33"/>
      <c r="AFQ4" s="33"/>
      <c r="AFR4" s="33"/>
      <c r="AFS4" s="33"/>
      <c r="AFT4" s="33"/>
      <c r="AFU4" s="33"/>
      <c r="AFV4" s="33"/>
      <c r="AFW4" s="33"/>
      <c r="AFX4" s="33"/>
      <c r="AFY4" s="33"/>
      <c r="AFZ4" s="33"/>
      <c r="AGA4" s="33"/>
      <c r="AGB4" s="33"/>
      <c r="AGC4" s="33"/>
      <c r="AGD4" s="33"/>
      <c r="AGE4" s="33"/>
      <c r="AGF4" s="33"/>
      <c r="AGG4" s="33"/>
      <c r="AGH4" s="33"/>
      <c r="AGI4" s="33"/>
      <c r="AGJ4" s="33"/>
      <c r="AGK4" s="33"/>
      <c r="AGL4" s="33"/>
      <c r="AGM4" s="33"/>
      <c r="AGN4" s="33"/>
      <c r="AGO4" s="33"/>
      <c r="AGP4" s="33"/>
      <c r="AGQ4" s="33"/>
      <c r="AGR4" s="33"/>
      <c r="AGS4" s="33"/>
      <c r="AGT4" s="33"/>
      <c r="AGU4" s="33"/>
      <c r="AGV4" s="33"/>
      <c r="AGW4" s="33"/>
      <c r="AGX4" s="33"/>
      <c r="AGY4" s="33"/>
      <c r="AGZ4" s="33"/>
      <c r="AHA4" s="33"/>
      <c r="AHB4" s="33"/>
      <c r="AHC4" s="33"/>
      <c r="AHD4" s="33"/>
      <c r="AHE4" s="33"/>
      <c r="AHF4" s="33"/>
      <c r="AHG4" s="33"/>
      <c r="AHH4" s="33"/>
      <c r="AHI4" s="33"/>
      <c r="AHJ4" s="33"/>
      <c r="AHK4" s="33"/>
      <c r="AHL4" s="33"/>
      <c r="AHM4" s="33"/>
      <c r="AHN4" s="33"/>
      <c r="AHO4" s="33"/>
      <c r="AHP4" s="33"/>
      <c r="AHQ4" s="33"/>
      <c r="AHR4" s="33"/>
      <c r="AHS4" s="33"/>
      <c r="AHT4" s="33"/>
      <c r="AHU4" s="33"/>
      <c r="AHV4" s="33"/>
      <c r="AHW4" s="33"/>
      <c r="AHX4" s="33"/>
      <c r="AHY4" s="33"/>
      <c r="AHZ4" s="33"/>
      <c r="AIA4" s="33"/>
      <c r="AIB4" s="33"/>
      <c r="AIC4" s="33"/>
      <c r="AID4" s="33"/>
      <c r="AIE4" s="33"/>
      <c r="AIF4" s="33"/>
      <c r="AIG4" s="33"/>
      <c r="AIH4" s="33"/>
      <c r="AII4" s="33"/>
      <c r="AIJ4" s="33"/>
      <c r="AIK4" s="33"/>
      <c r="AIL4" s="33"/>
      <c r="AIM4" s="33"/>
      <c r="AIN4" s="33"/>
      <c r="AIO4" s="33"/>
      <c r="AIP4" s="33"/>
      <c r="AIQ4" s="33"/>
      <c r="AIR4" s="33"/>
      <c r="AIS4" s="33"/>
      <c r="AIT4" s="33"/>
      <c r="AIU4" s="33"/>
      <c r="AIV4" s="33"/>
      <c r="AIW4" s="33"/>
      <c r="AIX4" s="33"/>
      <c r="AIY4" s="33"/>
      <c r="AIZ4" s="33"/>
      <c r="AJA4" s="33"/>
      <c r="AJB4" s="33"/>
      <c r="AJC4" s="33"/>
      <c r="AJD4" s="33"/>
      <c r="AJE4" s="33"/>
      <c r="AJF4" s="33"/>
      <c r="AJG4" s="33"/>
      <c r="AJH4" s="33"/>
      <c r="AJI4" s="33"/>
      <c r="AJJ4" s="33"/>
      <c r="AJK4" s="33"/>
      <c r="AJL4" s="33"/>
      <c r="AJM4" s="33"/>
      <c r="AJN4" s="33"/>
      <c r="AJO4" s="33"/>
      <c r="AJP4" s="33"/>
      <c r="AJQ4" s="33"/>
      <c r="AJR4" s="33"/>
      <c r="AJS4" s="33"/>
      <c r="AJT4" s="33"/>
      <c r="AJU4" s="33"/>
      <c r="AJV4" s="33"/>
      <c r="AJW4" s="33"/>
      <c r="AJX4" s="33"/>
      <c r="AJY4" s="33"/>
      <c r="AJZ4" s="33"/>
      <c r="AKA4" s="33"/>
      <c r="AKB4" s="33"/>
      <c r="AKC4" s="33"/>
      <c r="AKD4" s="33"/>
      <c r="AKE4" s="33"/>
      <c r="AKF4" s="33"/>
      <c r="AKG4" s="33"/>
      <c r="AKH4" s="33"/>
      <c r="AKI4" s="33"/>
      <c r="AKJ4" s="33"/>
      <c r="AKK4" s="33"/>
      <c r="AKL4" s="33"/>
      <c r="AKM4" s="33"/>
      <c r="AKN4" s="33"/>
      <c r="AKO4" s="33"/>
      <c r="AKP4" s="33"/>
      <c r="AKQ4" s="33"/>
      <c r="AKR4" s="33"/>
      <c r="AKS4" s="33"/>
      <c r="AKT4" s="33"/>
      <c r="AKU4" s="33"/>
      <c r="AKV4" s="33"/>
      <c r="AKW4" s="33"/>
      <c r="AKX4" s="33"/>
      <c r="AKY4" s="33"/>
      <c r="AKZ4" s="33"/>
      <c r="ALA4" s="33"/>
      <c r="ALB4" s="33"/>
      <c r="ALC4" s="33"/>
      <c r="ALD4" s="33"/>
      <c r="ALE4" s="33"/>
      <c r="ALF4" s="33"/>
      <c r="ALG4" s="33"/>
      <c r="ALH4" s="33"/>
      <c r="ALI4" s="33"/>
      <c r="ALJ4" s="33"/>
      <c r="ALK4" s="33"/>
      <c r="ALL4" s="33"/>
      <c r="ALM4" s="33"/>
      <c r="ALN4" s="33"/>
      <c r="ALO4" s="33"/>
      <c r="ALP4" s="33"/>
      <c r="ALQ4" s="33"/>
      <c r="ALR4" s="33"/>
      <c r="ALS4" s="33"/>
      <c r="ALT4" s="33"/>
      <c r="ALU4" s="33"/>
      <c r="ALV4" s="33"/>
    </row>
    <row r="5" spans="1:1022" x14ac:dyDescent="0.25">
      <c r="A5" s="68" t="s">
        <v>118</v>
      </c>
      <c r="B5" s="69"/>
      <c r="C5" s="70">
        <f>atend1!D33</f>
        <v>1230.3499999999999</v>
      </c>
      <c r="D5" s="69"/>
      <c r="E5" s="70">
        <f>atend2!D33</f>
        <v>1355.64</v>
      </c>
      <c r="F5" s="69"/>
      <c r="G5" s="70">
        <f>atend3!D33</f>
        <v>1458.8</v>
      </c>
      <c r="H5" s="69"/>
      <c r="I5" s="70">
        <f>atend4!D33</f>
        <v>1782.42</v>
      </c>
      <c r="J5" s="69"/>
      <c r="K5" s="70">
        <f>auxsuperv!D33</f>
        <v>1465.12</v>
      </c>
      <c r="L5" s="69"/>
      <c r="M5" s="70">
        <f>superv!D33</f>
        <v>1668.21</v>
      </c>
      <c r="N5" s="69"/>
      <c r="O5" s="70">
        <f>telef!D33</f>
        <v>1298.42</v>
      </c>
    </row>
    <row r="6" spans="1:1022" x14ac:dyDescent="0.25">
      <c r="A6" s="68" t="s">
        <v>119</v>
      </c>
      <c r="B6" s="71">
        <f>atend1!C57</f>
        <v>0.36800000000000005</v>
      </c>
      <c r="C6" s="72">
        <f>TRUNC(B6*C5,2)</f>
        <v>452.76</v>
      </c>
      <c r="D6" s="71">
        <f>atend2!C57</f>
        <v>0.36800000000000005</v>
      </c>
      <c r="E6" s="72">
        <f>TRUNC(D6*E5,2)</f>
        <v>498.87</v>
      </c>
      <c r="F6" s="71">
        <f>atend3!C57</f>
        <v>0.36800000000000005</v>
      </c>
      <c r="G6" s="72">
        <f>TRUNC(F6*G5,2)</f>
        <v>536.83000000000004</v>
      </c>
      <c r="H6" s="71">
        <f>atend4!C57</f>
        <v>0.36800000000000005</v>
      </c>
      <c r="I6" s="72">
        <f>TRUNC(H6*I5)</f>
        <v>655</v>
      </c>
      <c r="J6" s="71">
        <f>auxsuperv!C57</f>
        <v>0.36800000000000005</v>
      </c>
      <c r="K6" s="72">
        <f>TRUNC(J6*K5,2)</f>
        <v>539.16</v>
      </c>
      <c r="L6" s="71">
        <f>superv!C57</f>
        <v>0.36800000000000005</v>
      </c>
      <c r="M6" s="72">
        <f>TRUNC(L6*M5,2)</f>
        <v>613.9</v>
      </c>
      <c r="N6" s="71">
        <f>telef!C57</f>
        <v>0.36800000000000005</v>
      </c>
      <c r="O6" s="72">
        <f>TRUNC(N6*O5,2)</f>
        <v>477.81</v>
      </c>
    </row>
    <row r="7" spans="1:1022" x14ac:dyDescent="0.25">
      <c r="A7" s="68" t="s">
        <v>120</v>
      </c>
      <c r="B7" s="71">
        <f>atend1!C135</f>
        <v>0.05</v>
      </c>
      <c r="C7" s="72">
        <f>TRUNC((C5+C6)*B7,2)</f>
        <v>84.15</v>
      </c>
      <c r="D7" s="71">
        <f>atend2!C135</f>
        <v>0.05</v>
      </c>
      <c r="E7" s="72">
        <f>TRUNC((E5+E6)*D7,2)</f>
        <v>92.72</v>
      </c>
      <c r="F7" s="71">
        <f>atend3!C135</f>
        <v>0.05</v>
      </c>
      <c r="G7" s="72">
        <f>TRUNC((G5+G6)*F7,2)</f>
        <v>99.78</v>
      </c>
      <c r="H7" s="71">
        <f>atend4!C135</f>
        <v>0.05</v>
      </c>
      <c r="I7" s="72">
        <f>TRUNC((I5+I6)*H7,2)</f>
        <v>121.87</v>
      </c>
      <c r="J7" s="71">
        <f>auxsuperv!C135</f>
        <v>0.05</v>
      </c>
      <c r="K7" s="72">
        <f>TRUNC((K5+K6)*J7,2)</f>
        <v>100.21</v>
      </c>
      <c r="L7" s="71">
        <f>superv!C135</f>
        <v>0.05</v>
      </c>
      <c r="M7" s="72">
        <f>TRUNC((M5+M6)*L7,2)</f>
        <v>114.1</v>
      </c>
      <c r="N7" s="71">
        <f>telef!C135</f>
        <v>0.05</v>
      </c>
      <c r="O7" s="72">
        <f>TRUNC((O5+O6)*N7,2)</f>
        <v>88.81</v>
      </c>
    </row>
    <row r="8" spans="1:1022" x14ac:dyDescent="0.25">
      <c r="A8" s="68" t="s">
        <v>121</v>
      </c>
      <c r="B8" s="71">
        <f>atend1!C136</f>
        <v>0.06</v>
      </c>
      <c r="C8" s="72">
        <f>TRUNC((C5+C6+C7)*B8,2)</f>
        <v>106.03</v>
      </c>
      <c r="D8" s="71">
        <f>atend2!C136</f>
        <v>0.06</v>
      </c>
      <c r="E8" s="72">
        <f>TRUNC((E5+E6+E7)*D8,2)</f>
        <v>116.83</v>
      </c>
      <c r="F8" s="71">
        <f>atend3!C136</f>
        <v>0.06</v>
      </c>
      <c r="G8" s="72">
        <f>TRUNC((G5+G6+G7)*F8,2)</f>
        <v>125.72</v>
      </c>
      <c r="H8" s="71">
        <f>atend4!C136</f>
        <v>0.06</v>
      </c>
      <c r="I8" s="72">
        <f>TRUNC((I5+I6+I7)*H8,2)</f>
        <v>153.55000000000001</v>
      </c>
      <c r="J8" s="71">
        <f>auxsuperv!C136</f>
        <v>0.06</v>
      </c>
      <c r="K8" s="72">
        <f>TRUNC((K5+K6+K7)*J8,2)</f>
        <v>126.26</v>
      </c>
      <c r="L8" s="71">
        <f>superv!C136</f>
        <v>0.06</v>
      </c>
      <c r="M8" s="72">
        <f>TRUNC((M5+M6+M7)*L8,2)</f>
        <v>143.77000000000001</v>
      </c>
      <c r="N8" s="71">
        <f>telef!C136</f>
        <v>0.06</v>
      </c>
      <c r="O8" s="72">
        <f>TRUNC((O5+O6+O7)*N8,2)</f>
        <v>111.9</v>
      </c>
    </row>
    <row r="9" spans="1:1022" x14ac:dyDescent="0.25">
      <c r="A9" s="68" t="s">
        <v>122</v>
      </c>
      <c r="B9" s="71">
        <f>atend1!C137</f>
        <v>8.6499999999999994E-2</v>
      </c>
      <c r="C9" s="72">
        <f>TRUNC((C5+C6+C7+C8)*B9/(1-B9),2)</f>
        <v>177.38</v>
      </c>
      <c r="D9" s="71">
        <f>atend2!C137</f>
        <v>8.6499999999999994E-2</v>
      </c>
      <c r="E9" s="72">
        <f>TRUNC((E5+E6+E7+E8)*D9/(1-D9),2)</f>
        <v>195.44</v>
      </c>
      <c r="F9" s="71">
        <f>atend3!C137</f>
        <v>8.6499999999999994E-2</v>
      </c>
      <c r="G9" s="72">
        <f>TRUNC((G5+G6+G7+G8)*F9/(1-F9),2)</f>
        <v>210.32</v>
      </c>
      <c r="H9" s="71">
        <f>atend4!C137</f>
        <v>8.6499999999999994E-2</v>
      </c>
      <c r="I9" s="72">
        <f>TRUNC((I5+I6+I7+I8)*H9/(1-H9),2)</f>
        <v>256.88</v>
      </c>
      <c r="J9" s="71">
        <f>auxsuperv!C137</f>
        <v>8.6499999999999994E-2</v>
      </c>
      <c r="K9" s="72">
        <f>TRUNC((K5+K6+K7+K8)*J9/(1-J9),2)</f>
        <v>211.23</v>
      </c>
      <c r="L9" s="71">
        <f>superv!C137</f>
        <v>8.6499999999999994E-2</v>
      </c>
      <c r="M9" s="72">
        <f>TRUNC((M5+M6+M7+M8)*L9/(1-L9),2)</f>
        <v>240.51</v>
      </c>
      <c r="N9" s="71">
        <f>telef!C137</f>
        <v>8.6499999999999994E-2</v>
      </c>
      <c r="O9" s="72">
        <f>TRUNC((O5+O6+O7+O8)*N9/(1-N9),2)</f>
        <v>187.19</v>
      </c>
    </row>
    <row r="10" spans="1:1022" x14ac:dyDescent="0.25">
      <c r="A10" s="68" t="s">
        <v>123</v>
      </c>
      <c r="B10" s="69"/>
      <c r="C10" s="70">
        <f>SUM(C5:C9)</f>
        <v>2050.67</v>
      </c>
      <c r="D10" s="69"/>
      <c r="E10" s="70">
        <f>SUM(E5:E9)</f>
        <v>2259.5000000000005</v>
      </c>
      <c r="F10" s="69"/>
      <c r="G10" s="70">
        <f>SUM(G5:G9)</f>
        <v>2431.4500000000003</v>
      </c>
      <c r="H10" s="69"/>
      <c r="I10" s="70">
        <f>SUM(I5:I9)</f>
        <v>2969.7200000000003</v>
      </c>
      <c r="J10" s="69"/>
      <c r="K10" s="70">
        <f>SUM(K5:K9)</f>
        <v>2441.98</v>
      </c>
      <c r="L10" s="69"/>
      <c r="M10" s="70">
        <f>SUM(M5:M9)</f>
        <v>2780.49</v>
      </c>
      <c r="N10" s="69"/>
      <c r="O10" s="70">
        <f>SUM(O5:O9)</f>
        <v>2164.13</v>
      </c>
    </row>
    <row r="11" spans="1:1022" x14ac:dyDescent="0.25">
      <c r="A11" s="68" t="s">
        <v>124</v>
      </c>
      <c r="B11" s="69"/>
      <c r="C11" s="70">
        <f>TRUNC(C10/220,2)</f>
        <v>9.32</v>
      </c>
      <c r="D11" s="69"/>
      <c r="E11" s="70">
        <f>TRUNC(E10/220,2)</f>
        <v>10.27</v>
      </c>
      <c r="F11" s="69"/>
      <c r="G11" s="70">
        <f>TRUNC(G10/220,2)</f>
        <v>11.05</v>
      </c>
      <c r="H11" s="69"/>
      <c r="I11" s="70">
        <f>TRUNC(I10/220,2)</f>
        <v>13.49</v>
      </c>
      <c r="J11" s="69"/>
      <c r="K11" s="70">
        <f>TRUNC(K10/220,2)</f>
        <v>11.09</v>
      </c>
      <c r="L11" s="69"/>
      <c r="M11" s="70">
        <f>TRUNC(M10/202,2)</f>
        <v>13.76</v>
      </c>
      <c r="N11" s="69"/>
      <c r="O11" s="70">
        <f>TRUNC(O10/150,2)</f>
        <v>14.42</v>
      </c>
    </row>
    <row r="12" spans="1:1022" s="31" customFormat="1" x14ac:dyDescent="0.25">
      <c r="A12" s="68" t="s">
        <v>127</v>
      </c>
      <c r="B12" s="73">
        <v>0.5</v>
      </c>
      <c r="C12" s="76">
        <f>TRUNC(C11*(1+B12),2)</f>
        <v>13.98</v>
      </c>
      <c r="D12" s="73">
        <v>0.5</v>
      </c>
      <c r="E12" s="76">
        <f>TRUNC(E11*(1+D12),2)</f>
        <v>15.4</v>
      </c>
      <c r="F12" s="73">
        <v>0.5</v>
      </c>
      <c r="G12" s="76">
        <f>TRUNC(G11*(1+F12),2)</f>
        <v>16.57</v>
      </c>
      <c r="H12" s="73">
        <v>0.5</v>
      </c>
      <c r="I12" s="76">
        <f>TRUNC(I11*(1+H12),2)</f>
        <v>20.23</v>
      </c>
      <c r="J12" s="73">
        <v>0.5</v>
      </c>
      <c r="K12" s="76">
        <f>TRUNC(K11*(1+J12),2)</f>
        <v>16.63</v>
      </c>
      <c r="L12" s="73">
        <v>0.5</v>
      </c>
      <c r="M12" s="76">
        <f>TRUNC(M11*(1+L12),2)</f>
        <v>20.64</v>
      </c>
      <c r="N12" s="73">
        <v>0.5</v>
      </c>
      <c r="O12" s="76">
        <f>TRUNC(O11*(1+N12),2)</f>
        <v>21.63</v>
      </c>
      <c r="ALW12" s="32"/>
      <c r="ALX12" s="32"/>
      <c r="ALY12" s="32"/>
      <c r="ALZ12" s="32"/>
      <c r="AMA12" s="32"/>
      <c r="AMB12" s="32"/>
      <c r="AMC12" s="32"/>
      <c r="AMD12" s="32"/>
      <c r="AME12" s="32"/>
      <c r="AMF12" s="32"/>
      <c r="AMG12" s="32"/>
      <c r="AMH12" s="32"/>
    </row>
    <row r="13" spans="1:1022" s="31" customFormat="1" x14ac:dyDescent="0.25">
      <c r="A13" s="68" t="s">
        <v>125</v>
      </c>
      <c r="B13" s="73">
        <v>1</v>
      </c>
      <c r="C13" s="76">
        <f>TRUNC(C11*(1+B13),2)</f>
        <v>18.64</v>
      </c>
      <c r="D13" s="73">
        <v>1</v>
      </c>
      <c r="E13" s="76">
        <f>TRUNC(E11*(1+D13),2)</f>
        <v>20.54</v>
      </c>
      <c r="F13" s="73">
        <v>1</v>
      </c>
      <c r="G13" s="76">
        <f>TRUNC(G11*(1+F13),2)</f>
        <v>22.1</v>
      </c>
      <c r="H13" s="73">
        <v>1</v>
      </c>
      <c r="I13" s="76">
        <f>TRUNC(I11*(1+H13),2)</f>
        <v>26.98</v>
      </c>
      <c r="J13" s="73">
        <v>1</v>
      </c>
      <c r="K13" s="76">
        <f>TRUNC(K11*(1+J13),2)</f>
        <v>22.18</v>
      </c>
      <c r="L13" s="73">
        <v>1</v>
      </c>
      <c r="M13" s="76">
        <f>TRUNC(M11*(1+L13),2)</f>
        <v>27.52</v>
      </c>
      <c r="N13" s="73">
        <v>1</v>
      </c>
      <c r="O13" s="76">
        <f>TRUNC(O11*(1+N13),2)</f>
        <v>28.84</v>
      </c>
    </row>
    <row r="14" spans="1:1022" s="31" customFormat="1" x14ac:dyDescent="0.25">
      <c r="A14" s="62"/>
      <c r="B14" s="63"/>
      <c r="C14" s="64"/>
      <c r="D14" s="63"/>
      <c r="E14" s="64"/>
      <c r="F14" s="65"/>
      <c r="G14" s="64"/>
      <c r="H14" s="66"/>
      <c r="I14" s="64"/>
      <c r="J14" s="63"/>
      <c r="K14" s="64"/>
      <c r="L14" s="63"/>
      <c r="M14" s="64"/>
      <c r="N14" s="63"/>
      <c r="O14" s="64"/>
    </row>
    <row r="15" spans="1:1022" s="31" customFormat="1" x14ac:dyDescent="0.25">
      <c r="A15" s="86" t="s">
        <v>158</v>
      </c>
      <c r="B15" s="113" t="str">
        <f>atend1!A13</f>
        <v>Atendente I</v>
      </c>
      <c r="C15" s="113"/>
      <c r="D15" s="113" t="str">
        <f>atend2!A13</f>
        <v>Atendente II</v>
      </c>
      <c r="E15" s="113"/>
      <c r="F15" s="113" t="str">
        <f>atend3!A13</f>
        <v>Atendente III</v>
      </c>
      <c r="G15" s="113"/>
      <c r="H15" s="113" t="str">
        <f>atend4!A13</f>
        <v>Atendente IV (LIBRAS)</v>
      </c>
      <c r="I15" s="113"/>
      <c r="J15" s="113" t="str">
        <f>auxsuperv!A13</f>
        <v>Auxiliar de Supervisão</v>
      </c>
      <c r="K15" s="113"/>
      <c r="L15" s="113" t="str">
        <f>superv!A13</f>
        <v>Supervisor</v>
      </c>
      <c r="M15" s="113"/>
      <c r="N15" s="113" t="str">
        <f>telef!A13</f>
        <v>Telefonista</v>
      </c>
      <c r="O15" s="113"/>
    </row>
    <row r="16" spans="1:1022" s="31" customFormat="1" x14ac:dyDescent="0.25">
      <c r="A16" s="68" t="s">
        <v>128</v>
      </c>
      <c r="B16" s="68">
        <v>16</v>
      </c>
      <c r="C16" s="72">
        <f>C12*B16</f>
        <v>223.68</v>
      </c>
      <c r="D16" s="68">
        <v>32</v>
      </c>
      <c r="E16" s="72">
        <f>E12*D16</f>
        <v>492.8</v>
      </c>
      <c r="F16" s="74">
        <v>56</v>
      </c>
      <c r="G16" s="72">
        <f>F16*G12</f>
        <v>927.92000000000007</v>
      </c>
      <c r="H16" s="75">
        <v>16</v>
      </c>
      <c r="I16" s="72">
        <f>H16*I12</f>
        <v>323.68</v>
      </c>
      <c r="J16" s="68">
        <v>12</v>
      </c>
      <c r="K16" s="72">
        <f>K12*J16</f>
        <v>199.56</v>
      </c>
      <c r="L16" s="68">
        <v>12</v>
      </c>
      <c r="M16" s="72">
        <f>M12*L16</f>
        <v>247.68</v>
      </c>
      <c r="N16" s="68">
        <v>8</v>
      </c>
      <c r="O16" s="72">
        <f>O12*N16</f>
        <v>173.04</v>
      </c>
    </row>
    <row r="17" spans="1:1010" s="31" customFormat="1" x14ac:dyDescent="0.25">
      <c r="A17" s="68" t="s">
        <v>126</v>
      </c>
      <c r="B17" s="68">
        <v>4</v>
      </c>
      <c r="C17" s="72">
        <f>C13*B17</f>
        <v>74.56</v>
      </c>
      <c r="D17" s="68">
        <v>4</v>
      </c>
      <c r="E17" s="72">
        <f>E13*D17</f>
        <v>82.16</v>
      </c>
      <c r="F17" s="74">
        <v>8</v>
      </c>
      <c r="G17" s="72">
        <f>F17*G13</f>
        <v>176.8</v>
      </c>
      <c r="H17" s="75">
        <v>4</v>
      </c>
      <c r="I17" s="72">
        <f>H17*I13</f>
        <v>107.92</v>
      </c>
      <c r="J17" s="68">
        <v>4</v>
      </c>
      <c r="K17" s="72">
        <f>K13*J17</f>
        <v>88.72</v>
      </c>
      <c r="L17" s="68">
        <v>4</v>
      </c>
      <c r="M17" s="72">
        <f>M13*L17</f>
        <v>110.08</v>
      </c>
      <c r="N17" s="68">
        <v>4</v>
      </c>
      <c r="O17" s="72">
        <f>O13*N17</f>
        <v>115.36</v>
      </c>
    </row>
    <row r="18" spans="1:1010" s="31" customFormat="1" x14ac:dyDescent="0.25">
      <c r="A18" s="69" t="s">
        <v>152</v>
      </c>
      <c r="B18" s="69"/>
      <c r="C18" s="70">
        <f>SUM(C16:C17)</f>
        <v>298.24</v>
      </c>
      <c r="D18" s="69"/>
      <c r="E18" s="70">
        <f>SUM(E16:E17)</f>
        <v>574.96</v>
      </c>
      <c r="F18" s="69"/>
      <c r="G18" s="70">
        <f>SUM(G16:G17)</f>
        <v>1104.72</v>
      </c>
      <c r="H18" s="69"/>
      <c r="I18" s="70">
        <f>SUM(I16:I17)</f>
        <v>431.6</v>
      </c>
      <c r="J18" s="69"/>
      <c r="K18" s="70">
        <f>SUM(K16:K17)</f>
        <v>288.27999999999997</v>
      </c>
      <c r="L18" s="69"/>
      <c r="M18" s="70">
        <f>SUM(M16:M17)</f>
        <v>357.76</v>
      </c>
      <c r="N18" s="69"/>
      <c r="O18" s="70">
        <f>SUM(O16:O17)</f>
        <v>288.39999999999998</v>
      </c>
    </row>
    <row r="19" spans="1:1010" s="31" customFormat="1" x14ac:dyDescent="0.25"/>
    <row r="20" spans="1:1010" x14ac:dyDescent="0.25">
      <c r="A20" s="87" t="s">
        <v>151</v>
      </c>
      <c r="B20" s="113" t="str">
        <f>atend1!A13</f>
        <v>Atendente I</v>
      </c>
      <c r="C20" s="113"/>
      <c r="D20" s="113" t="str">
        <f>atend2!A13</f>
        <v>Atendente II</v>
      </c>
      <c r="E20" s="113"/>
      <c r="F20" s="113" t="str">
        <f>atend3!A13</f>
        <v>Atendente III</v>
      </c>
      <c r="G20" s="113"/>
      <c r="H20" s="113" t="str">
        <f>atend4!A13</f>
        <v>Atendente IV (LIBRAS)</v>
      </c>
      <c r="I20" s="113"/>
      <c r="J20" s="113" t="str">
        <f>auxsuperv!A13</f>
        <v>Auxiliar de Supervisão</v>
      </c>
      <c r="K20" s="113"/>
      <c r="L20" s="113" t="str">
        <f>superv!A13</f>
        <v>Supervisor</v>
      </c>
      <c r="M20" s="113"/>
      <c r="N20" s="113" t="str">
        <f>telef!A13</f>
        <v>Telefonista</v>
      </c>
      <c r="O20" s="113"/>
    </row>
    <row r="21" spans="1:1010" x14ac:dyDescent="0.25">
      <c r="A21" s="68" t="s">
        <v>128</v>
      </c>
      <c r="B21" s="68">
        <v>912</v>
      </c>
      <c r="C21" s="72">
        <f>B21*C12</f>
        <v>12749.76</v>
      </c>
      <c r="D21" s="68">
        <v>4104</v>
      </c>
      <c r="E21" s="72">
        <f>D21*E12</f>
        <v>63201.599999999999</v>
      </c>
      <c r="F21" s="68">
        <v>5244</v>
      </c>
      <c r="G21" s="72">
        <f>F21*G12</f>
        <v>86893.08</v>
      </c>
      <c r="H21" s="68">
        <v>1824</v>
      </c>
      <c r="I21" s="72">
        <f>H21*I12</f>
        <v>36899.520000000004</v>
      </c>
      <c r="J21" s="68">
        <v>456</v>
      </c>
      <c r="K21" s="72">
        <f>J21*K12</f>
        <v>7583.28</v>
      </c>
      <c r="L21" s="68">
        <v>456</v>
      </c>
      <c r="M21" s="72">
        <f>L21*M12</f>
        <v>9411.84</v>
      </c>
      <c r="N21" s="68">
        <v>432</v>
      </c>
      <c r="O21" s="72">
        <f>N21*O12</f>
        <v>9344.16</v>
      </c>
    </row>
    <row r="22" spans="1:1010" x14ac:dyDescent="0.25">
      <c r="A22" s="68" t="s">
        <v>126</v>
      </c>
      <c r="B22" s="68">
        <v>384</v>
      </c>
      <c r="C22" s="72">
        <f>B22*C13</f>
        <v>7157.76</v>
      </c>
      <c r="D22" s="68">
        <v>1728</v>
      </c>
      <c r="E22" s="72">
        <f>D22*E13</f>
        <v>35493.119999999995</v>
      </c>
      <c r="F22" s="68">
        <v>2208</v>
      </c>
      <c r="G22" s="72">
        <f>F22*G13</f>
        <v>48796.800000000003</v>
      </c>
      <c r="H22" s="68">
        <v>768</v>
      </c>
      <c r="I22" s="72">
        <f>H22*I13</f>
        <v>20720.64</v>
      </c>
      <c r="J22" s="68">
        <v>192</v>
      </c>
      <c r="K22" s="72">
        <f>J22*K13</f>
        <v>4258.5599999999995</v>
      </c>
      <c r="L22" s="68">
        <v>192</v>
      </c>
      <c r="M22" s="72">
        <f>L22*M13</f>
        <v>5283.84</v>
      </c>
      <c r="N22" s="68">
        <v>192</v>
      </c>
      <c r="O22" s="72">
        <f>N22*O13</f>
        <v>5537.28</v>
      </c>
    </row>
    <row r="23" spans="1:1010" x14ac:dyDescent="0.25">
      <c r="A23" s="69" t="s">
        <v>152</v>
      </c>
      <c r="B23" s="69"/>
      <c r="C23" s="70">
        <f>SUM(C21:C22)</f>
        <v>19907.52</v>
      </c>
      <c r="D23" s="69"/>
      <c r="E23" s="70">
        <f>SUM(E21:E22)</f>
        <v>98694.720000000001</v>
      </c>
      <c r="F23" s="69"/>
      <c r="G23" s="70">
        <f>SUM(G21:G22)</f>
        <v>135689.88</v>
      </c>
      <c r="H23" s="69"/>
      <c r="I23" s="70">
        <f>SUM(I21:I22)</f>
        <v>57620.160000000003</v>
      </c>
      <c r="J23" s="69"/>
      <c r="K23" s="70">
        <f>SUM(K21:K22)</f>
        <v>11841.84</v>
      </c>
      <c r="L23" s="69"/>
      <c r="M23" s="70">
        <f>SUM(M21:M22)</f>
        <v>14695.68</v>
      </c>
      <c r="N23" s="69"/>
      <c r="O23" s="70">
        <f>SUM(O21:O22)</f>
        <v>14881.439999999999</v>
      </c>
    </row>
    <row r="25" spans="1:1010" x14ac:dyDescent="0.25">
      <c r="A25" s="114" t="s">
        <v>41</v>
      </c>
      <c r="B25" s="117" t="s">
        <v>162</v>
      </c>
      <c r="C25" s="117"/>
      <c r="D25" s="117"/>
      <c r="E25" s="117"/>
      <c r="F25" s="117" t="s">
        <v>163</v>
      </c>
      <c r="G25" s="117"/>
      <c r="H25" s="117"/>
      <c r="I25" s="117"/>
    </row>
    <row r="26" spans="1:1010" x14ac:dyDescent="0.25">
      <c r="A26" s="115"/>
      <c r="B26" s="117" t="s">
        <v>158</v>
      </c>
      <c r="C26" s="117"/>
      <c r="D26" s="117" t="s">
        <v>151</v>
      </c>
      <c r="E26" s="117"/>
      <c r="F26" s="117" t="s">
        <v>158</v>
      </c>
      <c r="G26" s="117"/>
      <c r="H26" s="117" t="s">
        <v>151</v>
      </c>
      <c r="I26" s="117"/>
    </row>
    <row r="27" spans="1:1010" x14ac:dyDescent="0.25">
      <c r="A27" s="89" t="s">
        <v>161</v>
      </c>
      <c r="B27" s="88" t="s">
        <v>159</v>
      </c>
      <c r="C27" s="88" t="s">
        <v>160</v>
      </c>
      <c r="D27" s="88" t="s">
        <v>159</v>
      </c>
      <c r="E27" s="88" t="s">
        <v>160</v>
      </c>
      <c r="F27" s="88" t="s">
        <v>159</v>
      </c>
      <c r="G27" s="88" t="s">
        <v>160</v>
      </c>
      <c r="H27" s="88" t="s">
        <v>159</v>
      </c>
      <c r="I27" s="88" t="s">
        <v>160</v>
      </c>
      <c r="ALN27" s="32"/>
      <c r="ALO27" s="32"/>
      <c r="ALP27" s="32"/>
      <c r="ALQ27" s="32"/>
      <c r="ALR27" s="32"/>
      <c r="ALS27" s="32"/>
      <c r="ALT27" s="32"/>
      <c r="ALU27" s="32"/>
      <c r="ALV27" s="32"/>
    </row>
    <row r="28" spans="1:1010" x14ac:dyDescent="0.25">
      <c r="A28" s="68" t="str">
        <f>B4</f>
        <v>Atendente I</v>
      </c>
      <c r="B28" s="78">
        <v>2</v>
      </c>
      <c r="C28" s="79">
        <f t="shared" ref="C28:C34" si="0">B28</f>
        <v>2</v>
      </c>
      <c r="D28" s="79">
        <f>48*atend1!D13</f>
        <v>144</v>
      </c>
      <c r="E28" s="79">
        <f>D28</f>
        <v>144</v>
      </c>
      <c r="F28" s="80">
        <f>4.9*B28</f>
        <v>9.8000000000000007</v>
      </c>
      <c r="G28" s="80">
        <f t="shared" ref="G28:G35" si="1">F28</f>
        <v>9.8000000000000007</v>
      </c>
      <c r="H28" s="80">
        <f>4.9*D28</f>
        <v>705.6</v>
      </c>
      <c r="I28" s="80">
        <f>H28</f>
        <v>705.6</v>
      </c>
      <c r="ALN28" s="32"/>
      <c r="ALO28" s="32"/>
      <c r="ALP28" s="32"/>
      <c r="ALQ28" s="32"/>
      <c r="ALR28" s="32"/>
      <c r="ALS28" s="32"/>
      <c r="ALT28" s="32"/>
      <c r="ALU28" s="32"/>
      <c r="ALV28" s="32"/>
    </row>
    <row r="29" spans="1:1010" x14ac:dyDescent="0.25">
      <c r="A29" s="68" t="str">
        <f>D4</f>
        <v>Atendente II</v>
      </c>
      <c r="B29" s="77">
        <v>2</v>
      </c>
      <c r="C29" s="68">
        <f t="shared" si="0"/>
        <v>2</v>
      </c>
      <c r="D29" s="68">
        <f>48*atend2!D13</f>
        <v>240</v>
      </c>
      <c r="E29" s="68">
        <f t="shared" ref="E29:E34" si="2">D29</f>
        <v>240</v>
      </c>
      <c r="F29" s="72">
        <f>4.9*B29</f>
        <v>9.8000000000000007</v>
      </c>
      <c r="G29" s="72">
        <f t="shared" si="1"/>
        <v>9.8000000000000007</v>
      </c>
      <c r="H29" s="72">
        <f t="shared" ref="H29:H34" si="3">4.9*D29</f>
        <v>1176</v>
      </c>
      <c r="I29" s="72">
        <f t="shared" ref="I29:I35" si="4">H29</f>
        <v>1176</v>
      </c>
      <c r="ALN29" s="32"/>
      <c r="ALO29" s="32"/>
      <c r="ALP29" s="32"/>
      <c r="ALQ29" s="32"/>
      <c r="ALR29" s="32"/>
      <c r="ALS29" s="32"/>
      <c r="ALT29" s="32"/>
      <c r="ALU29" s="32"/>
      <c r="ALV29" s="32"/>
    </row>
    <row r="30" spans="1:1010" x14ac:dyDescent="0.25">
      <c r="A30" s="68" t="str">
        <f>F4</f>
        <v>Atendente III</v>
      </c>
      <c r="B30" s="77">
        <v>4</v>
      </c>
      <c r="C30" s="68">
        <f t="shared" si="0"/>
        <v>4</v>
      </c>
      <c r="D30" s="68">
        <f>48*atend3!D13</f>
        <v>1488</v>
      </c>
      <c r="E30" s="68">
        <f t="shared" si="2"/>
        <v>1488</v>
      </c>
      <c r="F30" s="72">
        <f t="shared" ref="F30:F34" si="5">4.9*B30</f>
        <v>19.600000000000001</v>
      </c>
      <c r="G30" s="72">
        <f t="shared" si="1"/>
        <v>19.600000000000001</v>
      </c>
      <c r="H30" s="72">
        <f t="shared" si="3"/>
        <v>7291.2000000000007</v>
      </c>
      <c r="I30" s="72">
        <f t="shared" si="4"/>
        <v>7291.2000000000007</v>
      </c>
      <c r="ALN30" s="32"/>
      <c r="ALO30" s="32"/>
      <c r="ALP30" s="32"/>
      <c r="ALQ30" s="32"/>
      <c r="ALR30" s="32"/>
      <c r="ALS30" s="32"/>
      <c r="ALT30" s="32"/>
      <c r="ALU30" s="32"/>
      <c r="ALV30" s="32"/>
    </row>
    <row r="31" spans="1:1010" x14ac:dyDescent="0.25">
      <c r="A31" s="68" t="str">
        <f>H4</f>
        <v>Atendente IV (LIBRAS)</v>
      </c>
      <c r="B31" s="77">
        <v>2</v>
      </c>
      <c r="C31" s="68">
        <f t="shared" si="0"/>
        <v>2</v>
      </c>
      <c r="D31" s="68">
        <f>48*atend4!D13</f>
        <v>192</v>
      </c>
      <c r="E31" s="68">
        <f t="shared" si="2"/>
        <v>192</v>
      </c>
      <c r="F31" s="72">
        <f t="shared" si="5"/>
        <v>9.8000000000000007</v>
      </c>
      <c r="G31" s="72">
        <f t="shared" si="1"/>
        <v>9.8000000000000007</v>
      </c>
      <c r="H31" s="72">
        <f t="shared" si="3"/>
        <v>940.80000000000007</v>
      </c>
      <c r="I31" s="72">
        <f t="shared" si="4"/>
        <v>940.80000000000007</v>
      </c>
      <c r="ALN31" s="32"/>
      <c r="ALO31" s="32"/>
      <c r="ALP31" s="32"/>
      <c r="ALQ31" s="32"/>
      <c r="ALR31" s="32"/>
      <c r="ALS31" s="32"/>
      <c r="ALT31" s="32"/>
      <c r="ALU31" s="32"/>
      <c r="ALV31" s="32"/>
    </row>
    <row r="32" spans="1:1010" x14ac:dyDescent="0.25">
      <c r="A32" s="68" t="str">
        <f>J4</f>
        <v>Auxiliar de Supervisão</v>
      </c>
      <c r="B32" s="77">
        <v>2</v>
      </c>
      <c r="C32" s="68">
        <f t="shared" si="0"/>
        <v>2</v>
      </c>
      <c r="D32" s="68">
        <f>48*auxsuperv!D13</f>
        <v>96</v>
      </c>
      <c r="E32" s="68">
        <f t="shared" si="2"/>
        <v>96</v>
      </c>
      <c r="F32" s="72">
        <f t="shared" si="5"/>
        <v>9.8000000000000007</v>
      </c>
      <c r="G32" s="72">
        <f t="shared" si="1"/>
        <v>9.8000000000000007</v>
      </c>
      <c r="H32" s="72">
        <f t="shared" si="3"/>
        <v>470.40000000000003</v>
      </c>
      <c r="I32" s="72">
        <f t="shared" si="4"/>
        <v>470.40000000000003</v>
      </c>
      <c r="ALN32" s="32"/>
      <c r="ALO32" s="32"/>
      <c r="ALP32" s="32"/>
      <c r="ALQ32" s="32"/>
      <c r="ALR32" s="32"/>
      <c r="ALS32" s="32"/>
      <c r="ALT32" s="32"/>
      <c r="ALU32" s="32"/>
      <c r="ALV32" s="32"/>
    </row>
    <row r="33" spans="1:1010" x14ac:dyDescent="0.25">
      <c r="A33" s="68" t="str">
        <f>L4</f>
        <v>Supervisor</v>
      </c>
      <c r="B33" s="77">
        <v>2</v>
      </c>
      <c r="C33" s="68">
        <f t="shared" si="0"/>
        <v>2</v>
      </c>
      <c r="D33" s="68">
        <f>48*superv!D13</f>
        <v>48</v>
      </c>
      <c r="E33" s="68">
        <f t="shared" si="2"/>
        <v>48</v>
      </c>
      <c r="F33" s="72">
        <f t="shared" si="5"/>
        <v>9.8000000000000007</v>
      </c>
      <c r="G33" s="72">
        <f t="shared" si="1"/>
        <v>9.8000000000000007</v>
      </c>
      <c r="H33" s="72">
        <f t="shared" si="3"/>
        <v>235.20000000000002</v>
      </c>
      <c r="I33" s="72">
        <f t="shared" si="4"/>
        <v>235.20000000000002</v>
      </c>
      <c r="ALN33" s="32"/>
      <c r="ALO33" s="32"/>
      <c r="ALP33" s="32"/>
      <c r="ALQ33" s="32"/>
      <c r="ALR33" s="32"/>
      <c r="ALS33" s="32"/>
      <c r="ALT33" s="32"/>
      <c r="ALU33" s="32"/>
      <c r="ALV33" s="32"/>
    </row>
    <row r="34" spans="1:1010" x14ac:dyDescent="0.25">
      <c r="A34" s="68" t="str">
        <f>N4</f>
        <v>Telefonista</v>
      </c>
      <c r="B34" s="77">
        <v>2</v>
      </c>
      <c r="C34" s="68">
        <f t="shared" si="0"/>
        <v>2</v>
      </c>
      <c r="D34" s="68">
        <f>48*telef!D13</f>
        <v>192</v>
      </c>
      <c r="E34" s="68">
        <f t="shared" si="2"/>
        <v>192</v>
      </c>
      <c r="F34" s="72">
        <f t="shared" si="5"/>
        <v>9.8000000000000007</v>
      </c>
      <c r="G34" s="72">
        <f t="shared" si="1"/>
        <v>9.8000000000000007</v>
      </c>
      <c r="H34" s="72">
        <f t="shared" si="3"/>
        <v>940.80000000000007</v>
      </c>
      <c r="I34" s="72">
        <f t="shared" si="4"/>
        <v>940.80000000000007</v>
      </c>
      <c r="ALN34" s="32"/>
      <c r="ALO34" s="32"/>
      <c r="ALP34" s="32"/>
      <c r="ALQ34" s="32"/>
      <c r="ALR34" s="32"/>
      <c r="ALS34" s="32"/>
      <c r="ALT34" s="32"/>
      <c r="ALU34" s="32"/>
      <c r="ALV34" s="32"/>
    </row>
    <row r="35" spans="1:1010" x14ac:dyDescent="0.25">
      <c r="F35" s="72">
        <f>SUM(F28:F34)</f>
        <v>78.399999999999991</v>
      </c>
      <c r="G35" s="72">
        <f t="shared" si="1"/>
        <v>78.399999999999991</v>
      </c>
      <c r="H35" s="72">
        <f>SUM(H28:H34)</f>
        <v>11760</v>
      </c>
      <c r="I35" s="72">
        <f t="shared" si="4"/>
        <v>11760</v>
      </c>
      <c r="ALN35" s="32"/>
      <c r="ALO35" s="32"/>
      <c r="ALP35" s="32"/>
      <c r="ALQ35" s="32"/>
      <c r="ALR35" s="32"/>
      <c r="ALS35" s="32"/>
      <c r="ALT35" s="32"/>
      <c r="ALU35" s="32"/>
      <c r="ALV35" s="32"/>
    </row>
    <row r="36" spans="1:1010" x14ac:dyDescent="0.25">
      <c r="F36" s="72" t="s">
        <v>166</v>
      </c>
      <c r="G36" s="72">
        <f>SUM(F35:G35)</f>
        <v>156.79999999999998</v>
      </c>
      <c r="H36" s="72" t="s">
        <v>166</v>
      </c>
      <c r="I36" s="72">
        <f>SUM(H35:I35)</f>
        <v>23520</v>
      </c>
      <c r="ALN36" s="32"/>
      <c r="ALO36" s="32"/>
      <c r="ALP36" s="32"/>
      <c r="ALQ36" s="32"/>
      <c r="ALR36" s="32"/>
      <c r="ALS36" s="32"/>
      <c r="ALT36" s="32"/>
      <c r="ALU36" s="32"/>
      <c r="ALV36" s="32"/>
    </row>
    <row r="37" spans="1:1010" x14ac:dyDescent="0.25">
      <c r="F37" s="72" t="s">
        <v>165</v>
      </c>
      <c r="G37" s="72">
        <f>G36*B7</f>
        <v>7.84</v>
      </c>
      <c r="H37" s="72" t="s">
        <v>165</v>
      </c>
      <c r="I37" s="72">
        <f>I36*B7</f>
        <v>1176</v>
      </c>
    </row>
    <row r="38" spans="1:1010" x14ac:dyDescent="0.25">
      <c r="F38" s="72" t="s">
        <v>121</v>
      </c>
      <c r="G38" s="72">
        <f>(G36+G37)*B8</f>
        <v>9.8783999999999992</v>
      </c>
      <c r="H38" s="72" t="s">
        <v>121</v>
      </c>
      <c r="I38" s="72">
        <f>(I36+I37)*B8</f>
        <v>1481.76</v>
      </c>
    </row>
    <row r="39" spans="1:1010" x14ac:dyDescent="0.25">
      <c r="F39" s="72" t="s">
        <v>122</v>
      </c>
      <c r="G39" s="72">
        <f>(G36+G37+G38)*B9/(1-B9)</f>
        <v>16.525278160919537</v>
      </c>
      <c r="H39" s="72" t="s">
        <v>122</v>
      </c>
      <c r="I39" s="72">
        <f>(I36+I37+I38)*B9/(1-B9)</f>
        <v>2478.7917241379305</v>
      </c>
    </row>
    <row r="40" spans="1:1010" x14ac:dyDescent="0.25">
      <c r="F40" s="72" t="s">
        <v>164</v>
      </c>
      <c r="G40" s="76">
        <f>SUM(G36:G39)</f>
        <v>191.04367816091951</v>
      </c>
      <c r="H40" s="72" t="s">
        <v>164</v>
      </c>
      <c r="I40" s="76">
        <f>SUM(I36:I39)</f>
        <v>28656.551724137928</v>
      </c>
    </row>
    <row r="42" spans="1:1010" x14ac:dyDescent="0.25">
      <c r="A42" s="114" t="s">
        <v>172</v>
      </c>
      <c r="B42" s="116" t="s">
        <v>162</v>
      </c>
      <c r="C42" s="116"/>
      <c r="D42" s="116"/>
      <c r="E42" s="116"/>
      <c r="F42" s="116" t="s">
        <v>163</v>
      </c>
      <c r="G42" s="116"/>
      <c r="H42" s="116"/>
      <c r="I42" s="116"/>
    </row>
    <row r="43" spans="1:1010" x14ac:dyDescent="0.25">
      <c r="A43" s="115"/>
      <c r="B43" s="116" t="s">
        <v>158</v>
      </c>
      <c r="C43" s="116"/>
      <c r="D43" s="116" t="s">
        <v>151</v>
      </c>
      <c r="E43" s="116"/>
      <c r="F43" s="116" t="s">
        <v>158</v>
      </c>
      <c r="G43" s="116"/>
      <c r="H43" s="116" t="s">
        <v>151</v>
      </c>
      <c r="I43" s="116"/>
    </row>
    <row r="44" spans="1:1010" x14ac:dyDescent="0.25">
      <c r="A44" s="89" t="s">
        <v>161</v>
      </c>
      <c r="B44" s="68" t="s">
        <v>167</v>
      </c>
      <c r="C44" s="68" t="s">
        <v>168</v>
      </c>
      <c r="D44" s="68" t="s">
        <v>167</v>
      </c>
      <c r="E44" s="68" t="s">
        <v>169</v>
      </c>
      <c r="F44" s="68" t="str">
        <f>B44</f>
        <v>Úteis</v>
      </c>
      <c r="G44" s="68" t="str">
        <f>C44</f>
        <v>Sáb/Dom</v>
      </c>
      <c r="H44" s="68" t="str">
        <f>F44</f>
        <v>Úteis</v>
      </c>
      <c r="I44" s="68" t="str">
        <f>G44</f>
        <v>Sáb/Dom</v>
      </c>
    </row>
    <row r="45" spans="1:1010" x14ac:dyDescent="0.25">
      <c r="A45" s="68" t="str">
        <f>N4</f>
        <v>Telefonista</v>
      </c>
      <c r="B45" s="68">
        <v>6</v>
      </c>
      <c r="C45" s="68">
        <v>0</v>
      </c>
      <c r="D45" s="68">
        <f>240/6</f>
        <v>40</v>
      </c>
      <c r="E45" s="68">
        <v>0</v>
      </c>
      <c r="F45" s="81">
        <f>13.1*0.8*B45</f>
        <v>62.88</v>
      </c>
      <c r="G45" s="84">
        <v>0</v>
      </c>
      <c r="H45" s="81">
        <f>13.1*0.8*D45</f>
        <v>419.20000000000005</v>
      </c>
      <c r="I45" s="85">
        <v>0</v>
      </c>
    </row>
    <row r="46" spans="1:1010" x14ac:dyDescent="0.25">
      <c r="A46" s="59"/>
      <c r="B46" s="59"/>
      <c r="C46" s="59"/>
      <c r="D46" s="68" t="s">
        <v>165</v>
      </c>
      <c r="E46" s="73">
        <v>0.05</v>
      </c>
      <c r="F46" s="82">
        <f>F45*E46</f>
        <v>3.1440000000000001</v>
      </c>
      <c r="G46" s="59"/>
      <c r="H46" s="82">
        <f>H45*E46</f>
        <v>20.960000000000004</v>
      </c>
    </row>
    <row r="47" spans="1:1010" x14ac:dyDescent="0.25">
      <c r="A47" s="59"/>
      <c r="B47" s="59"/>
      <c r="C47" s="59"/>
      <c r="D47" s="68" t="s">
        <v>121</v>
      </c>
      <c r="E47" s="73">
        <v>0.06</v>
      </c>
      <c r="F47" s="82">
        <f>(F45+F46)*E47</f>
        <v>3.9614400000000001</v>
      </c>
      <c r="G47" s="59"/>
      <c r="H47" s="82">
        <f>(H45+H46)*E47</f>
        <v>26.409600000000001</v>
      </c>
    </row>
    <row r="48" spans="1:1010" x14ac:dyDescent="0.25">
      <c r="A48" s="59"/>
      <c r="B48" s="59"/>
      <c r="C48" s="59"/>
      <c r="D48" s="68" t="s">
        <v>122</v>
      </c>
      <c r="E48" s="71">
        <v>8.6499999999999994E-2</v>
      </c>
      <c r="F48" s="82">
        <f>(F45+F46+F47)*E48/(1-E48)</f>
        <v>6.6269737931034483</v>
      </c>
      <c r="G48" s="59"/>
      <c r="H48" s="82">
        <f>(H45+H46+H47)*E48/(1-E48)</f>
        <v>44.179825287356323</v>
      </c>
    </row>
    <row r="49" spans="1:8" x14ac:dyDescent="0.25">
      <c r="A49" s="59"/>
      <c r="B49" s="59"/>
      <c r="C49" s="59"/>
      <c r="D49" s="68" t="s">
        <v>164</v>
      </c>
      <c r="E49" s="68"/>
      <c r="F49" s="83">
        <f>SUM(F45:F48)</f>
        <v>76.612413793103443</v>
      </c>
      <c r="G49" s="59"/>
      <c r="H49" s="83">
        <f>SUM(H45:H48)</f>
        <v>510.74942528735636</v>
      </c>
    </row>
    <row r="52" spans="1:8" x14ac:dyDescent="0.25">
      <c r="A52" s="35" t="s">
        <v>173</v>
      </c>
    </row>
    <row r="53" spans="1:8" x14ac:dyDescent="0.25">
      <c r="A53" s="36">
        <f>SUM(B18:O18)+G40+F49</f>
        <v>3611.6160919540234</v>
      </c>
    </row>
    <row r="55" spans="1:8" x14ac:dyDescent="0.25">
      <c r="A55" s="35" t="s">
        <v>174</v>
      </c>
    </row>
    <row r="56" spans="1:8" x14ac:dyDescent="0.25">
      <c r="A56" s="58">
        <f>SUM(B23:O23)+I40+H49</f>
        <v>382498.54114942532</v>
      </c>
    </row>
  </sheetData>
  <mergeCells count="35">
    <mergeCell ref="A25:A26"/>
    <mergeCell ref="A42:A43"/>
    <mergeCell ref="B42:E42"/>
    <mergeCell ref="F42:I42"/>
    <mergeCell ref="B43:C43"/>
    <mergeCell ref="D43:E43"/>
    <mergeCell ref="F43:G43"/>
    <mergeCell ref="H43:I43"/>
    <mergeCell ref="B25:E25"/>
    <mergeCell ref="F25:I25"/>
    <mergeCell ref="F26:G26"/>
    <mergeCell ref="H26:I26"/>
    <mergeCell ref="B26:C26"/>
    <mergeCell ref="D26:E26"/>
    <mergeCell ref="L15:M15"/>
    <mergeCell ref="N15:O15"/>
    <mergeCell ref="B20:C20"/>
    <mergeCell ref="D20:E20"/>
    <mergeCell ref="F20:G20"/>
    <mergeCell ref="H20:I20"/>
    <mergeCell ref="J20:K20"/>
    <mergeCell ref="L20:M20"/>
    <mergeCell ref="N20:O20"/>
    <mergeCell ref="B15:C15"/>
    <mergeCell ref="D15:E15"/>
    <mergeCell ref="F15:G15"/>
    <mergeCell ref="H15:I15"/>
    <mergeCell ref="J15:K15"/>
    <mergeCell ref="L4:M4"/>
    <mergeCell ref="N4:O4"/>
    <mergeCell ref="B4:C4"/>
    <mergeCell ref="D4:E4"/>
    <mergeCell ref="J4:K4"/>
    <mergeCell ref="F4:G4"/>
    <mergeCell ref="H4:I4"/>
  </mergeCells>
  <printOptions horizontalCentered="1"/>
  <pageMargins left="0.51181102362204722" right="0.51181102362204722" top="0.78740157480314965" bottom="0.78740157480314965" header="0.51181102362204722" footer="0.51181102362204722"/>
  <pageSetup paperSize="9" scale="57"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O43"/>
  <sheetViews>
    <sheetView topLeftCell="A22" zoomScaleNormal="100" workbookViewId="0">
      <selection activeCell="J31" sqref="J31"/>
    </sheetView>
  </sheetViews>
  <sheetFormatPr defaultRowHeight="12" x14ac:dyDescent="0.2"/>
  <cols>
    <col min="1" max="1" width="9.140625" style="45"/>
    <col min="2" max="2" width="28.42578125" style="45" customWidth="1"/>
    <col min="3" max="3" width="9.42578125" style="45" bestFit="1" customWidth="1"/>
    <col min="4" max="4" width="9.140625" style="45"/>
    <col min="5" max="5" width="11.5703125" style="45" bestFit="1" customWidth="1"/>
    <col min="6" max="6" width="14.5703125" style="45" bestFit="1" customWidth="1"/>
    <col min="7" max="9" width="9.140625" style="45"/>
    <col min="10" max="10" width="11.140625" style="45" bestFit="1" customWidth="1"/>
    <col min="11" max="14" width="9.140625" style="45"/>
    <col min="15" max="15" width="17.85546875" style="45" customWidth="1"/>
    <col min="16" max="16384" width="9.140625" style="45"/>
  </cols>
  <sheetData>
    <row r="6" spans="1:6" x14ac:dyDescent="0.2">
      <c r="A6" s="118" t="s">
        <v>150</v>
      </c>
      <c r="B6" s="119"/>
      <c r="C6" s="119"/>
      <c r="D6" s="119"/>
      <c r="E6" s="119"/>
      <c r="F6" s="120"/>
    </row>
    <row r="8" spans="1:6" x14ac:dyDescent="0.2">
      <c r="A8" s="46" t="s">
        <v>138</v>
      </c>
      <c r="E8" s="47"/>
    </row>
    <row r="9" spans="1:6" ht="24" x14ac:dyDescent="0.2">
      <c r="A9" s="48" t="s">
        <v>130</v>
      </c>
      <c r="B9" s="48" t="s">
        <v>131</v>
      </c>
      <c r="C9" s="48" t="s">
        <v>132</v>
      </c>
      <c r="D9" s="48" t="s">
        <v>133</v>
      </c>
      <c r="E9" s="48" t="s">
        <v>134</v>
      </c>
      <c r="F9" s="48" t="s">
        <v>135</v>
      </c>
    </row>
    <row r="10" spans="1:6" x14ac:dyDescent="0.2">
      <c r="A10" s="49">
        <v>1</v>
      </c>
      <c r="B10" s="49" t="str">
        <f>atend1!A13</f>
        <v>Atendente I</v>
      </c>
      <c r="C10" s="51">
        <f>atend1!D157</f>
        <v>3295.12</v>
      </c>
      <c r="D10" s="49">
        <f>atend1!D13</f>
        <v>3</v>
      </c>
      <c r="E10" s="51">
        <f t="shared" ref="E10:E16" si="0">C10*D10</f>
        <v>9885.36</v>
      </c>
      <c r="F10" s="51">
        <f t="shared" ref="F10:F16" si="1">E10*12</f>
        <v>118624.32000000001</v>
      </c>
    </row>
    <row r="11" spans="1:6" x14ac:dyDescent="0.2">
      <c r="A11" s="49">
        <v>2</v>
      </c>
      <c r="B11" s="49" t="str">
        <f>atend2!A13</f>
        <v>Atendente II</v>
      </c>
      <c r="C11" s="51">
        <f>atend2!D157</f>
        <v>3549.63</v>
      </c>
      <c r="D11" s="49">
        <f>atend2!D13</f>
        <v>5</v>
      </c>
      <c r="E11" s="51">
        <f t="shared" si="0"/>
        <v>17748.150000000001</v>
      </c>
      <c r="F11" s="51">
        <f t="shared" si="1"/>
        <v>212977.80000000002</v>
      </c>
    </row>
    <row r="12" spans="1:6" x14ac:dyDescent="0.2">
      <c r="A12" s="49">
        <v>3</v>
      </c>
      <c r="B12" s="49" t="str">
        <f>atend3!A13</f>
        <v>Atendente III</v>
      </c>
      <c r="C12" s="51">
        <f>atend3!D157</f>
        <v>3761.98</v>
      </c>
      <c r="D12" s="49">
        <f>atend3!D13</f>
        <v>31</v>
      </c>
      <c r="E12" s="51">
        <f t="shared" ref="E12:E13" si="2">C12*D12</f>
        <v>116621.38</v>
      </c>
      <c r="F12" s="51">
        <f t="shared" ref="F12:F13" si="3">E12*12</f>
        <v>1399456.56</v>
      </c>
    </row>
    <row r="13" spans="1:6" x14ac:dyDescent="0.2">
      <c r="A13" s="49">
        <v>4</v>
      </c>
      <c r="B13" s="49" t="str">
        <f>atend4!A13</f>
        <v>Atendente IV (LIBRAS)</v>
      </c>
      <c r="C13" s="51">
        <f>atend4!D157</f>
        <v>4419.3</v>
      </c>
      <c r="D13" s="49">
        <f>atend4!D13</f>
        <v>4</v>
      </c>
      <c r="E13" s="51">
        <f t="shared" si="2"/>
        <v>17677.2</v>
      </c>
      <c r="F13" s="51">
        <f t="shared" si="3"/>
        <v>212126.40000000002</v>
      </c>
    </row>
    <row r="14" spans="1:6" x14ac:dyDescent="0.2">
      <c r="A14" s="49">
        <v>5</v>
      </c>
      <c r="B14" s="49" t="str">
        <f>auxsuperv!A13</f>
        <v>Auxiliar de Supervisão</v>
      </c>
      <c r="C14" s="51">
        <f>auxsuperv!D157</f>
        <v>3771.95</v>
      </c>
      <c r="D14" s="49">
        <f>auxsuperv!D13</f>
        <v>2</v>
      </c>
      <c r="E14" s="51">
        <f t="shared" si="0"/>
        <v>7543.9</v>
      </c>
      <c r="F14" s="51">
        <f t="shared" si="1"/>
        <v>90526.799999999988</v>
      </c>
    </row>
    <row r="15" spans="1:6" x14ac:dyDescent="0.2">
      <c r="A15" s="49">
        <v>6</v>
      </c>
      <c r="B15" s="49" t="str">
        <f>superv!A13</f>
        <v>Supervisor</v>
      </c>
      <c r="C15" s="51">
        <f>superv!D157</f>
        <v>4184.5200000000004</v>
      </c>
      <c r="D15" s="49">
        <f>superv!D13</f>
        <v>1</v>
      </c>
      <c r="E15" s="51">
        <f t="shared" si="0"/>
        <v>4184.5200000000004</v>
      </c>
      <c r="F15" s="51">
        <f t="shared" si="1"/>
        <v>50214.240000000005</v>
      </c>
    </row>
    <row r="16" spans="1:6" x14ac:dyDescent="0.2">
      <c r="A16" s="49">
        <v>7</v>
      </c>
      <c r="B16" s="49" t="str">
        <f>telef!A13</f>
        <v>Telefonista</v>
      </c>
      <c r="C16" s="51">
        <f>telef!D157</f>
        <v>3136.87</v>
      </c>
      <c r="D16" s="49">
        <f>telef!D13</f>
        <v>4</v>
      </c>
      <c r="E16" s="51">
        <f t="shared" si="0"/>
        <v>12547.48</v>
      </c>
      <c r="F16" s="51">
        <f t="shared" si="1"/>
        <v>150569.76</v>
      </c>
    </row>
    <row r="17" spans="1:15" x14ac:dyDescent="0.2">
      <c r="A17" s="52" t="s">
        <v>4</v>
      </c>
      <c r="B17" s="126" t="s">
        <v>136</v>
      </c>
      <c r="C17" s="126"/>
      <c r="D17" s="49">
        <f>SUM(D10:D16)</f>
        <v>50</v>
      </c>
      <c r="E17" s="53">
        <f>SUM(E10:E16)</f>
        <v>186207.99000000002</v>
      </c>
      <c r="F17" s="53">
        <f>SUM(F10:F16)</f>
        <v>2234495.88</v>
      </c>
    </row>
    <row r="19" spans="1:15" x14ac:dyDescent="0.2">
      <c r="A19" s="46" t="s">
        <v>139</v>
      </c>
    </row>
    <row r="20" spans="1:15" ht="24" x14ac:dyDescent="0.25">
      <c r="A20" s="48" t="s">
        <v>130</v>
      </c>
      <c r="B20" s="48" t="s">
        <v>131</v>
      </c>
      <c r="C20" s="48" t="s">
        <v>132</v>
      </c>
      <c r="D20" s="48" t="s">
        <v>133</v>
      </c>
      <c r="E20" s="48" t="s">
        <v>134</v>
      </c>
      <c r="F20" s="48" t="s">
        <v>137</v>
      </c>
      <c r="O20" s="56"/>
    </row>
    <row r="21" spans="1:15" ht="24.75" x14ac:dyDescent="0.25">
      <c r="A21" s="49">
        <v>8</v>
      </c>
      <c r="B21" s="50" t="str">
        <f>atend1temp!A13</f>
        <v>Atendente I - acréscimo em ano eleitoral por 210 dias</v>
      </c>
      <c r="C21" s="51">
        <f>atend1temp!D157</f>
        <v>3190.74</v>
      </c>
      <c r="D21" s="49">
        <f>atend1temp!D13</f>
        <v>8</v>
      </c>
      <c r="E21" s="51">
        <f>C21*D21</f>
        <v>25525.919999999998</v>
      </c>
      <c r="F21" s="51">
        <f>E21*7</f>
        <v>178681.44</v>
      </c>
      <c r="O21" s="56"/>
    </row>
    <row r="22" spans="1:15" ht="24" x14ac:dyDescent="0.2">
      <c r="A22" s="49">
        <v>9</v>
      </c>
      <c r="B22" s="50" t="str">
        <f>atend2temp!A13</f>
        <v>Atendente II - acréscimo em ano eleitoral por 210 dias</v>
      </c>
      <c r="C22" s="51">
        <f>atend2temp!D157</f>
        <v>3432.34</v>
      </c>
      <c r="D22" s="49">
        <f>atend2temp!D13</f>
        <v>12</v>
      </c>
      <c r="E22" s="51">
        <f t="shared" ref="E22:E25" si="4">C22*D22</f>
        <v>41188.080000000002</v>
      </c>
      <c r="F22" s="51">
        <f>E22*7</f>
        <v>288316.56</v>
      </c>
      <c r="O22" s="57"/>
    </row>
    <row r="23" spans="1:15" ht="24" x14ac:dyDescent="0.2">
      <c r="A23" s="49">
        <v>10</v>
      </c>
      <c r="B23" s="50" t="s">
        <v>149</v>
      </c>
      <c r="C23" s="51">
        <f>atend3temp!D157</f>
        <v>3665.68</v>
      </c>
      <c r="D23" s="49">
        <f>atend3temp!D13</f>
        <v>22</v>
      </c>
      <c r="E23" s="51">
        <f t="shared" si="4"/>
        <v>80644.959999999992</v>
      </c>
      <c r="F23" s="51">
        <f>E23*5</f>
        <v>403224.79999999993</v>
      </c>
    </row>
    <row r="24" spans="1:15" ht="24" x14ac:dyDescent="0.2">
      <c r="A24" s="49">
        <v>11</v>
      </c>
      <c r="B24" s="50" t="str">
        <f>auxsupervtemp!A13</f>
        <v>Auxiliar de Supervisão - acréscimo em ano eleitoral por 150 dias</v>
      </c>
      <c r="C24" s="51">
        <f>auxsupervtemp!D157</f>
        <v>3675.04</v>
      </c>
      <c r="D24" s="49">
        <f>auxsupervtemp!D13</f>
        <v>2</v>
      </c>
      <c r="E24" s="51">
        <f t="shared" si="4"/>
        <v>7350.08</v>
      </c>
      <c r="F24" s="51">
        <f t="shared" ref="F24:F25" si="5">E24*5</f>
        <v>36750.400000000001</v>
      </c>
    </row>
    <row r="25" spans="1:15" ht="24" x14ac:dyDescent="0.2">
      <c r="A25" s="49">
        <v>12</v>
      </c>
      <c r="B25" s="50" t="str">
        <f>teleftemp!A13</f>
        <v>Telefonista - acréscimo em ano eleitoral por 150 dias</v>
      </c>
      <c r="C25" s="51">
        <f>teleftemp!D157</f>
        <v>3061.14</v>
      </c>
      <c r="D25" s="49">
        <f>teleftemp!D13</f>
        <v>10</v>
      </c>
      <c r="E25" s="51">
        <f t="shared" si="4"/>
        <v>30611.399999999998</v>
      </c>
      <c r="F25" s="51">
        <f t="shared" si="5"/>
        <v>153057</v>
      </c>
    </row>
    <row r="26" spans="1:15" x14ac:dyDescent="0.2">
      <c r="A26" s="52" t="s">
        <v>6</v>
      </c>
      <c r="B26" s="126" t="s">
        <v>136</v>
      </c>
      <c r="C26" s="126"/>
      <c r="D26" s="49">
        <f>SUM(D21:D25)</f>
        <v>54</v>
      </c>
      <c r="E26" s="51">
        <f>SUM(E21:E25)</f>
        <v>185320.43999999997</v>
      </c>
      <c r="F26" s="51">
        <f>SUM(F21:F25)</f>
        <v>1060030.2</v>
      </c>
    </row>
    <row r="28" spans="1:15" x14ac:dyDescent="0.2">
      <c r="A28" s="46" t="s">
        <v>140</v>
      </c>
      <c r="E28" s="90"/>
      <c r="F28" s="48" t="s">
        <v>135</v>
      </c>
    </row>
    <row r="29" spans="1:15" x14ac:dyDescent="0.2">
      <c r="A29" s="52" t="s">
        <v>8</v>
      </c>
      <c r="B29" s="127" t="s">
        <v>153</v>
      </c>
      <c r="C29" s="128"/>
      <c r="D29" s="128"/>
      <c r="E29" s="129"/>
      <c r="F29" s="51">
        <f>hextra!A53</f>
        <v>3611.6160919540234</v>
      </c>
    </row>
    <row r="30" spans="1:15" x14ac:dyDescent="0.2">
      <c r="A30" s="52" t="s">
        <v>10</v>
      </c>
      <c r="B30" s="127" t="s">
        <v>154</v>
      </c>
      <c r="C30" s="128"/>
      <c r="D30" s="128"/>
      <c r="E30" s="129"/>
      <c r="F30" s="51">
        <f>hextra!A56</f>
        <v>382498.54114942532</v>
      </c>
    </row>
    <row r="32" spans="1:15" x14ac:dyDescent="0.2">
      <c r="A32" s="118" t="s">
        <v>141</v>
      </c>
      <c r="B32" s="119"/>
      <c r="C32" s="119"/>
      <c r="D32" s="119"/>
      <c r="E32" s="119"/>
      <c r="F32" s="120"/>
    </row>
    <row r="33" spans="1:15" ht="24" x14ac:dyDescent="0.2">
      <c r="A33" s="122" t="s">
        <v>142</v>
      </c>
      <c r="B33" s="122"/>
      <c r="C33" s="122"/>
      <c r="D33" s="122"/>
      <c r="E33" s="48" t="s">
        <v>134</v>
      </c>
      <c r="F33" s="48" t="s">
        <v>143</v>
      </c>
    </row>
    <row r="34" spans="1:15" x14ac:dyDescent="0.2">
      <c r="A34" s="52" t="s">
        <v>4</v>
      </c>
      <c r="B34" s="127" t="str">
        <f>A8</f>
        <v>postos regulares - tópico 4</v>
      </c>
      <c r="C34" s="128"/>
      <c r="D34" s="129"/>
      <c r="E34" s="51">
        <f>E17</f>
        <v>186207.99000000002</v>
      </c>
      <c r="F34" s="51">
        <f>F17</f>
        <v>2234495.88</v>
      </c>
    </row>
    <row r="35" spans="1:15" ht="15" customHeight="1" x14ac:dyDescent="0.2">
      <c r="A35" s="52" t="s">
        <v>8</v>
      </c>
      <c r="B35" s="127" t="str">
        <f>A28</f>
        <v>horas extras - tópico 5.3.2</v>
      </c>
      <c r="C35" s="128"/>
      <c r="D35" s="128"/>
      <c r="E35" s="129"/>
      <c r="F35" s="51">
        <f>F29</f>
        <v>3611.6160919540234</v>
      </c>
    </row>
    <row r="36" spans="1:15" x14ac:dyDescent="0.2">
      <c r="A36" s="123" t="s">
        <v>136</v>
      </c>
      <c r="B36" s="124"/>
      <c r="C36" s="124"/>
      <c r="D36" s="124"/>
      <c r="E36" s="125"/>
      <c r="F36" s="51">
        <f>SUM(F34:F35)</f>
        <v>2238107.4960919539</v>
      </c>
      <c r="O36" s="55"/>
    </row>
    <row r="37" spans="1:15" ht="24" x14ac:dyDescent="0.2">
      <c r="A37" s="122" t="s">
        <v>144</v>
      </c>
      <c r="B37" s="122"/>
      <c r="C37" s="122"/>
      <c r="D37" s="122"/>
      <c r="E37" s="48" t="s">
        <v>134</v>
      </c>
      <c r="F37" s="48" t="s">
        <v>145</v>
      </c>
      <c r="O37" s="55"/>
    </row>
    <row r="38" spans="1:15" x14ac:dyDescent="0.2">
      <c r="A38" s="52" t="s">
        <v>4</v>
      </c>
      <c r="B38" s="127" t="str">
        <f>A8</f>
        <v>postos regulares - tópico 4</v>
      </c>
      <c r="C38" s="128"/>
      <c r="D38" s="129"/>
      <c r="E38" s="51">
        <f>E17</f>
        <v>186207.99000000002</v>
      </c>
      <c r="F38" s="51">
        <f>F17</f>
        <v>2234495.88</v>
      </c>
    </row>
    <row r="39" spans="1:15" x14ac:dyDescent="0.2">
      <c r="A39" s="52" t="s">
        <v>6</v>
      </c>
      <c r="B39" s="127" t="str">
        <f>A19</f>
        <v>acréscimo de postos em ano eleitoral - tópico 4.1</v>
      </c>
      <c r="C39" s="128"/>
      <c r="D39" s="129"/>
      <c r="E39" s="51">
        <f>E26</f>
        <v>185320.43999999997</v>
      </c>
      <c r="F39" s="51">
        <f>F26</f>
        <v>1060030.2</v>
      </c>
      <c r="J39" s="55"/>
    </row>
    <row r="40" spans="1:15" x14ac:dyDescent="0.2">
      <c r="A40" s="52" t="s">
        <v>10</v>
      </c>
      <c r="B40" s="127" t="str">
        <f>A28</f>
        <v>horas extras - tópico 5.3.2</v>
      </c>
      <c r="C40" s="128"/>
      <c r="D40" s="128"/>
      <c r="E40" s="129"/>
      <c r="F40" s="51">
        <f>F30</f>
        <v>382498.54114942532</v>
      </c>
      <c r="J40" s="55"/>
    </row>
    <row r="41" spans="1:15" x14ac:dyDescent="0.2">
      <c r="A41" s="126" t="s">
        <v>136</v>
      </c>
      <c r="B41" s="126"/>
      <c r="C41" s="126"/>
      <c r="D41" s="126"/>
      <c r="E41" s="126"/>
      <c r="F41" s="51">
        <f>SUM(F38:F40)</f>
        <v>3677024.6211494254</v>
      </c>
      <c r="J41" s="55"/>
    </row>
    <row r="43" spans="1:15" x14ac:dyDescent="0.2">
      <c r="A43" s="121" t="s">
        <v>146</v>
      </c>
      <c r="B43" s="121"/>
      <c r="C43" s="121"/>
      <c r="D43" s="121"/>
      <c r="E43" s="121"/>
      <c r="F43" s="54">
        <f>F36+F41</f>
        <v>5915132.1172413789</v>
      </c>
    </row>
  </sheetData>
  <mergeCells count="16">
    <mergeCell ref="A6:F6"/>
    <mergeCell ref="A32:F32"/>
    <mergeCell ref="A43:E43"/>
    <mergeCell ref="A37:D37"/>
    <mergeCell ref="A33:D33"/>
    <mergeCell ref="A36:E36"/>
    <mergeCell ref="A41:E41"/>
    <mergeCell ref="B34:D34"/>
    <mergeCell ref="B38:D38"/>
    <mergeCell ref="B39:D39"/>
    <mergeCell ref="B26:C26"/>
    <mergeCell ref="B35:E35"/>
    <mergeCell ref="B40:E40"/>
    <mergeCell ref="B29:E29"/>
    <mergeCell ref="B30:E30"/>
    <mergeCell ref="B17:C17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&amp;L&amp;"Times New Roman,Negrito"Estimativa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9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107</v>
      </c>
      <c r="B13" s="112"/>
      <c r="C13" s="61" t="s">
        <v>105</v>
      </c>
      <c r="D13" s="61">
        <v>5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II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1355.64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1355.64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1355.64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112.92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150.61000000000001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263.53000000000003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323.83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40.47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48.57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24.28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16.190000000000001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9.7100000000000009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3.23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129.53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595.80999999999995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144.0616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522.21159999999998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263.53000000000003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595.80999999999995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522.21159999999998</v>
      </c>
    </row>
    <row r="77" spans="1:5" x14ac:dyDescent="0.2">
      <c r="A77" s="100" t="s">
        <v>16</v>
      </c>
      <c r="B77" s="100"/>
      <c r="C77" s="100"/>
      <c r="D77" s="15">
        <f>SUM(D74:D76)</f>
        <v>1381.5515999999998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5.55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0.44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2.16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24.94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9.17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41.21</v>
      </c>
    </row>
    <row r="89" spans="1:5" x14ac:dyDescent="0.2">
      <c r="A89" s="107" t="s">
        <v>16</v>
      </c>
      <c r="B89" s="108"/>
      <c r="C89" s="109"/>
      <c r="D89" s="15">
        <f>SUM(D83:D88)</f>
        <v>83.47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25.95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15.51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0.56000000000000005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9.3000000000000007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3.13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54.45000000000001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54.45000000000001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54.45000000000001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0.42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38.260000000000005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145.66857999999999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183.5424108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307.04257701609197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23.072595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106.4889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177.48150000000001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636.25356781609196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1355.64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1381.5515999999998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83.47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54.45000000000001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38.260000000000005</v>
      </c>
    </row>
    <row r="155" spans="1:4" x14ac:dyDescent="0.2">
      <c r="A155" s="100" t="s">
        <v>101</v>
      </c>
      <c r="B155" s="100"/>
      <c r="C155" s="100"/>
      <c r="D155" s="19">
        <f>SUM(D150:D154)</f>
        <v>2913.3715999999999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636.25356781609196</v>
      </c>
    </row>
    <row r="157" spans="1:4" x14ac:dyDescent="0.2">
      <c r="A157" s="100" t="s">
        <v>73</v>
      </c>
      <c r="B157" s="100"/>
      <c r="C157" s="100"/>
      <c r="D157" s="19">
        <f>ROUND(SUM(D155:D156),2)</f>
        <v>3549.63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7"/>
  <sheetViews>
    <sheetView topLeftCell="A13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37" t="s">
        <v>97</v>
      </c>
      <c r="D12" s="25" t="s">
        <v>98</v>
      </c>
    </row>
    <row r="13" spans="1:4" x14ac:dyDescent="0.2">
      <c r="A13" s="112" t="s">
        <v>148</v>
      </c>
      <c r="B13" s="112"/>
      <c r="C13" s="61" t="s">
        <v>105</v>
      </c>
      <c r="D13" s="61">
        <v>31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III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1458.8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38">
        <v>1</v>
      </c>
      <c r="B25" s="100" t="s">
        <v>2</v>
      </c>
      <c r="C25" s="100"/>
      <c r="D25" s="38" t="s">
        <v>3</v>
      </c>
    </row>
    <row r="26" spans="1:4" x14ac:dyDescent="0.2">
      <c r="A26" s="37" t="s">
        <v>4</v>
      </c>
      <c r="B26" s="101" t="s">
        <v>5</v>
      </c>
      <c r="C26" s="101"/>
      <c r="D26" s="9">
        <f>C19</f>
        <v>1458.8</v>
      </c>
    </row>
    <row r="27" spans="1:4" x14ac:dyDescent="0.2">
      <c r="A27" s="37" t="s">
        <v>6</v>
      </c>
      <c r="B27" s="101" t="s">
        <v>7</v>
      </c>
      <c r="C27" s="101"/>
      <c r="D27" s="9"/>
    </row>
    <row r="28" spans="1:4" x14ac:dyDescent="0.2">
      <c r="A28" s="37" t="s">
        <v>8</v>
      </c>
      <c r="B28" s="101" t="s">
        <v>9</v>
      </c>
      <c r="C28" s="101"/>
      <c r="D28" s="9"/>
    </row>
    <row r="29" spans="1:4" x14ac:dyDescent="0.2">
      <c r="A29" s="37" t="s">
        <v>10</v>
      </c>
      <c r="B29" s="101" t="s">
        <v>11</v>
      </c>
      <c r="C29" s="101"/>
      <c r="D29" s="9"/>
    </row>
    <row r="30" spans="1:4" x14ac:dyDescent="0.2">
      <c r="A30" s="37" t="s">
        <v>12</v>
      </c>
      <c r="B30" s="101" t="s">
        <v>13</v>
      </c>
      <c r="C30" s="101"/>
      <c r="D30" s="9"/>
    </row>
    <row r="31" spans="1:4" x14ac:dyDescent="0.2">
      <c r="A31" s="37"/>
      <c r="B31" s="101"/>
      <c r="C31" s="101"/>
      <c r="D31" s="9"/>
    </row>
    <row r="32" spans="1:4" x14ac:dyDescent="0.2">
      <c r="A32" s="3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1458.8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38" t="s">
        <v>19</v>
      </c>
      <c r="B40" s="100" t="s">
        <v>20</v>
      </c>
      <c r="C40" s="100"/>
      <c r="D40" s="38" t="s">
        <v>3</v>
      </c>
    </row>
    <row r="41" spans="1:4" x14ac:dyDescent="0.2">
      <c r="A41" s="37" t="s">
        <v>4</v>
      </c>
      <c r="B41" s="39" t="s">
        <v>21</v>
      </c>
      <c r="C41" s="8">
        <f>TRUNC(1/12,4)</f>
        <v>8.3299999999999999E-2</v>
      </c>
      <c r="D41" s="9">
        <f>TRUNC($D$33*C41,2)</f>
        <v>121.51</v>
      </c>
    </row>
    <row r="42" spans="1:4" x14ac:dyDescent="0.2">
      <c r="A42" s="37" t="s">
        <v>6</v>
      </c>
      <c r="B42" s="39" t="s">
        <v>22</v>
      </c>
      <c r="C42" s="8">
        <f>TRUNC(((1+1/3)/12),4)</f>
        <v>0.1111</v>
      </c>
      <c r="D42" s="9">
        <f>TRUNC($D$33*C42,2)</f>
        <v>162.07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283.58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38" t="s">
        <v>24</v>
      </c>
      <c r="B48" s="38" t="s">
        <v>25</v>
      </c>
      <c r="C48" s="38" t="s">
        <v>26</v>
      </c>
      <c r="D48" s="38" t="s">
        <v>3</v>
      </c>
    </row>
    <row r="49" spans="1:4" x14ac:dyDescent="0.2">
      <c r="A49" s="37" t="s">
        <v>4</v>
      </c>
      <c r="B49" s="39" t="s">
        <v>27</v>
      </c>
      <c r="C49" s="6">
        <v>0.2</v>
      </c>
      <c r="D49" s="9">
        <f>TRUNC(($D$33+$D$43)*C49,2)</f>
        <v>348.47</v>
      </c>
    </row>
    <row r="50" spans="1:4" x14ac:dyDescent="0.2">
      <c r="A50" s="37" t="s">
        <v>6</v>
      </c>
      <c r="B50" s="39" t="s">
        <v>28</v>
      </c>
      <c r="C50" s="6">
        <v>2.5000000000000001E-2</v>
      </c>
      <c r="D50" s="9">
        <f t="shared" ref="D50:D56" si="0">TRUNC(($D$33+$D$43)*C50,2)</f>
        <v>43.55</v>
      </c>
    </row>
    <row r="51" spans="1:4" x14ac:dyDescent="0.2">
      <c r="A51" s="37" t="s">
        <v>8</v>
      </c>
      <c r="B51" s="39" t="s">
        <v>29</v>
      </c>
      <c r="C51" s="12">
        <v>0.03</v>
      </c>
      <c r="D51" s="9">
        <f t="shared" si="0"/>
        <v>52.27</v>
      </c>
    </row>
    <row r="52" spans="1:4" x14ac:dyDescent="0.2">
      <c r="A52" s="37" t="s">
        <v>10</v>
      </c>
      <c r="B52" s="39" t="s">
        <v>30</v>
      </c>
      <c r="C52" s="6">
        <v>1.4999999999999999E-2</v>
      </c>
      <c r="D52" s="9">
        <f t="shared" si="0"/>
        <v>26.13</v>
      </c>
    </row>
    <row r="53" spans="1:4" x14ac:dyDescent="0.2">
      <c r="A53" s="37" t="s">
        <v>12</v>
      </c>
      <c r="B53" s="39" t="s">
        <v>31</v>
      </c>
      <c r="C53" s="6">
        <v>0.01</v>
      </c>
      <c r="D53" s="9">
        <f t="shared" si="0"/>
        <v>17.420000000000002</v>
      </c>
    </row>
    <row r="54" spans="1:4" x14ac:dyDescent="0.2">
      <c r="A54" s="37" t="s">
        <v>32</v>
      </c>
      <c r="B54" s="39" t="s">
        <v>33</v>
      </c>
      <c r="C54" s="6">
        <v>6.0000000000000001E-3</v>
      </c>
      <c r="D54" s="9">
        <f t="shared" si="0"/>
        <v>10.45</v>
      </c>
    </row>
    <row r="55" spans="1:4" x14ac:dyDescent="0.2">
      <c r="A55" s="37" t="s">
        <v>14</v>
      </c>
      <c r="B55" s="39" t="s">
        <v>34</v>
      </c>
      <c r="C55" s="6">
        <v>2E-3</v>
      </c>
      <c r="D55" s="9">
        <f t="shared" si="0"/>
        <v>3.48</v>
      </c>
    </row>
    <row r="56" spans="1:4" x14ac:dyDescent="0.2">
      <c r="A56" s="37" t="s">
        <v>35</v>
      </c>
      <c r="B56" s="39" t="s">
        <v>36</v>
      </c>
      <c r="C56" s="6">
        <v>0.08</v>
      </c>
      <c r="D56" s="9">
        <f t="shared" si="0"/>
        <v>139.38999999999999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641.16000000000008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38" t="s">
        <v>39</v>
      </c>
      <c r="B62" s="104" t="s">
        <v>40</v>
      </c>
      <c r="C62" s="104"/>
      <c r="D62" s="38" t="s">
        <v>3</v>
      </c>
    </row>
    <row r="63" spans="1:4" x14ac:dyDescent="0.2">
      <c r="A63" s="37" t="s">
        <v>4</v>
      </c>
      <c r="B63" s="101" t="s">
        <v>41</v>
      </c>
      <c r="C63" s="101"/>
      <c r="D63" s="9">
        <f>(23*2*4.9)-(D26*0.06)</f>
        <v>137.87200000000001</v>
      </c>
    </row>
    <row r="64" spans="1:4" x14ac:dyDescent="0.2">
      <c r="A64" s="3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37" t="s">
        <v>8</v>
      </c>
      <c r="B65" s="101" t="s">
        <v>112</v>
      </c>
      <c r="C65" s="101"/>
      <c r="D65" s="9">
        <v>122.19</v>
      </c>
    </row>
    <row r="66" spans="1:5" x14ac:dyDescent="0.2">
      <c r="A66" s="37" t="s">
        <v>10</v>
      </c>
      <c r="B66" s="101" t="s">
        <v>113</v>
      </c>
      <c r="C66" s="101"/>
      <c r="D66" s="9">
        <v>11.11</v>
      </c>
    </row>
    <row r="67" spans="1:5" x14ac:dyDescent="0.2">
      <c r="A67" s="3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516.02199999999993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38">
        <v>2</v>
      </c>
      <c r="B73" s="104" t="s">
        <v>44</v>
      </c>
      <c r="C73" s="104"/>
      <c r="D73" s="38" t="s">
        <v>3</v>
      </c>
    </row>
    <row r="74" spans="1:5" x14ac:dyDescent="0.2">
      <c r="A74" s="37" t="s">
        <v>19</v>
      </c>
      <c r="B74" s="101" t="s">
        <v>20</v>
      </c>
      <c r="C74" s="101"/>
      <c r="D74" s="10">
        <f>D43</f>
        <v>283.58</v>
      </c>
    </row>
    <row r="75" spans="1:5" x14ac:dyDescent="0.2">
      <c r="A75" s="37" t="s">
        <v>24</v>
      </c>
      <c r="B75" s="101" t="s">
        <v>25</v>
      </c>
      <c r="C75" s="101"/>
      <c r="D75" s="10">
        <f>D57</f>
        <v>641.16000000000008</v>
      </c>
    </row>
    <row r="76" spans="1:5" x14ac:dyDescent="0.2">
      <c r="A76" s="37" t="s">
        <v>39</v>
      </c>
      <c r="B76" s="101" t="s">
        <v>40</v>
      </c>
      <c r="C76" s="101"/>
      <c r="D76" s="10">
        <f>D68</f>
        <v>516.02199999999993</v>
      </c>
    </row>
    <row r="77" spans="1:5" x14ac:dyDescent="0.2">
      <c r="A77" s="100" t="s">
        <v>16</v>
      </c>
      <c r="B77" s="100"/>
      <c r="C77" s="100"/>
      <c r="D77" s="15">
        <f>SUM(D74:D76)</f>
        <v>1440.7619999999999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38">
        <v>3</v>
      </c>
      <c r="B82" s="104" t="s">
        <v>46</v>
      </c>
      <c r="C82" s="104"/>
      <c r="D82" s="38" t="s">
        <v>3</v>
      </c>
    </row>
    <row r="83" spans="1:5" x14ac:dyDescent="0.2">
      <c r="A83" s="37" t="s">
        <v>4</v>
      </c>
      <c r="B83" s="7" t="s">
        <v>47</v>
      </c>
      <c r="C83" s="6">
        <f>TRUNC(((1/12)*5%),4)</f>
        <v>4.1000000000000003E-3</v>
      </c>
      <c r="D83" s="9">
        <f>TRUNC($D$33*C83,2)</f>
        <v>5.98</v>
      </c>
    </row>
    <row r="84" spans="1:5" x14ac:dyDescent="0.2">
      <c r="A84" s="37" t="s">
        <v>6</v>
      </c>
      <c r="B84" s="7" t="s">
        <v>48</v>
      </c>
      <c r="C84" s="6">
        <v>0.08</v>
      </c>
      <c r="D84" s="9">
        <f>TRUNC(D83*C84,2)</f>
        <v>0.47</v>
      </c>
    </row>
    <row r="85" spans="1:5" x14ac:dyDescent="0.2">
      <c r="A85" s="37" t="s">
        <v>8</v>
      </c>
      <c r="B85" s="7" t="s">
        <v>49</v>
      </c>
      <c r="C85" s="6">
        <f>TRUNC(8%*5%*40%,4)</f>
        <v>1.6000000000000001E-3</v>
      </c>
      <c r="D85" s="9">
        <f>TRUNC($D$33*C85,2)</f>
        <v>2.33</v>
      </c>
    </row>
    <row r="86" spans="1:5" x14ac:dyDescent="0.2">
      <c r="A86" s="37" t="s">
        <v>10</v>
      </c>
      <c r="B86" s="7" t="s">
        <v>50</v>
      </c>
      <c r="C86" s="6">
        <f>TRUNC(((7/30)/12)*95%,4)</f>
        <v>1.84E-2</v>
      </c>
      <c r="D86" s="9">
        <f>TRUNC($D$33*C86,2)</f>
        <v>26.84</v>
      </c>
    </row>
    <row r="87" spans="1:5" ht="25.5" x14ac:dyDescent="0.2">
      <c r="A87" s="37" t="s">
        <v>12</v>
      </c>
      <c r="B87" s="7" t="s">
        <v>100</v>
      </c>
      <c r="C87" s="6">
        <f>C57</f>
        <v>0.36800000000000005</v>
      </c>
      <c r="D87" s="9">
        <f>TRUNC(D86*C87,2)</f>
        <v>9.8699999999999992</v>
      </c>
    </row>
    <row r="88" spans="1:5" x14ac:dyDescent="0.2">
      <c r="A88" s="3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44.34</v>
      </c>
    </row>
    <row r="89" spans="1:5" x14ac:dyDescent="0.2">
      <c r="A89" s="107" t="s">
        <v>16</v>
      </c>
      <c r="B89" s="108"/>
      <c r="C89" s="109"/>
      <c r="D89" s="15">
        <f>SUM(D83:D88)</f>
        <v>89.830000000000013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38" t="s">
        <v>53</v>
      </c>
      <c r="B97" s="104" t="s">
        <v>80</v>
      </c>
      <c r="C97" s="104"/>
      <c r="D97" s="38" t="s">
        <v>3</v>
      </c>
    </row>
    <row r="98" spans="1:6" x14ac:dyDescent="0.2">
      <c r="A98" s="37" t="s">
        <v>4</v>
      </c>
      <c r="B98" s="39" t="s">
        <v>81</v>
      </c>
      <c r="C98" s="6">
        <f>TRUNC(((1+1/3)/12)/12,4)</f>
        <v>9.1999999999999998E-3</v>
      </c>
      <c r="D98" s="9">
        <f>TRUNC(($D$33+$D$77+$D$89)*C98,2)</f>
        <v>27.5</v>
      </c>
    </row>
    <row r="99" spans="1:6" x14ac:dyDescent="0.2">
      <c r="A99" s="37" t="s">
        <v>6</v>
      </c>
      <c r="B99" s="39" t="s">
        <v>82</v>
      </c>
      <c r="C99" s="6">
        <f>TRUNC(((2/30)/12),4)</f>
        <v>5.4999999999999997E-3</v>
      </c>
      <c r="D99" s="9">
        <f t="shared" ref="D99:D103" si="2">TRUNC(($D$33+$D$77+$D$89)*C99,2)</f>
        <v>16.440000000000001</v>
      </c>
    </row>
    <row r="100" spans="1:6" x14ac:dyDescent="0.2">
      <c r="A100" s="37" t="s">
        <v>8</v>
      </c>
      <c r="B100" s="39" t="s">
        <v>83</v>
      </c>
      <c r="C100" s="6">
        <f>TRUNC(((5/30)/12)*2%,4)</f>
        <v>2.0000000000000001E-4</v>
      </c>
      <c r="D100" s="9">
        <f t="shared" si="2"/>
        <v>0.59</v>
      </c>
    </row>
    <row r="101" spans="1:6" x14ac:dyDescent="0.2">
      <c r="A101" s="37" t="s">
        <v>10</v>
      </c>
      <c r="B101" s="39" t="s">
        <v>84</v>
      </c>
      <c r="C101" s="6">
        <f>TRUNC(((15/30)/12)*8%,4)</f>
        <v>3.3E-3</v>
      </c>
      <c r="D101" s="9">
        <f t="shared" si="2"/>
        <v>9.86</v>
      </c>
    </row>
    <row r="102" spans="1:6" x14ac:dyDescent="0.2">
      <c r="A102" s="37" t="s">
        <v>12</v>
      </c>
      <c r="B102" s="39" t="s">
        <v>85</v>
      </c>
      <c r="C102" s="6">
        <f>((1+1/3)/12)*3%*(4/12)</f>
        <v>1.1111111111111109E-3</v>
      </c>
      <c r="D102" s="9">
        <f t="shared" si="2"/>
        <v>3.32</v>
      </c>
    </row>
    <row r="103" spans="1:6" x14ac:dyDescent="0.2">
      <c r="A103" s="37" t="s">
        <v>32</v>
      </c>
      <c r="B103" s="3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57.71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38" t="s">
        <v>54</v>
      </c>
      <c r="B109" s="104" t="s">
        <v>88</v>
      </c>
      <c r="C109" s="104"/>
      <c r="D109" s="38" t="s">
        <v>3</v>
      </c>
    </row>
    <row r="110" spans="1:6" x14ac:dyDescent="0.2">
      <c r="A110" s="3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38">
        <v>4</v>
      </c>
      <c r="B116" s="100" t="s">
        <v>56</v>
      </c>
      <c r="C116" s="100"/>
      <c r="D116" s="38" t="s">
        <v>3</v>
      </c>
    </row>
    <row r="117" spans="1:4" x14ac:dyDescent="0.2">
      <c r="A117" s="37" t="s">
        <v>53</v>
      </c>
      <c r="B117" s="101" t="s">
        <v>80</v>
      </c>
      <c r="C117" s="101"/>
      <c r="D117" s="10">
        <f>D104</f>
        <v>57.71</v>
      </c>
    </row>
    <row r="118" spans="1:4" x14ac:dyDescent="0.2">
      <c r="A118" s="3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57.71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38">
        <v>5</v>
      </c>
      <c r="B124" s="106" t="s">
        <v>58</v>
      </c>
      <c r="C124" s="106"/>
      <c r="D124" s="38" t="s">
        <v>3</v>
      </c>
    </row>
    <row r="125" spans="1:4" x14ac:dyDescent="0.2">
      <c r="A125" s="37" t="s">
        <v>4</v>
      </c>
      <c r="B125" s="39" t="s">
        <v>59</v>
      </c>
      <c r="C125" s="39"/>
      <c r="D125" s="9">
        <v>37.840000000000003</v>
      </c>
    </row>
    <row r="126" spans="1:4" x14ac:dyDescent="0.2">
      <c r="A126" s="37" t="s">
        <v>6</v>
      </c>
      <c r="B126" s="39" t="s">
        <v>60</v>
      </c>
      <c r="C126" s="39"/>
      <c r="D126" s="9">
        <v>0</v>
      </c>
    </row>
    <row r="127" spans="1:4" x14ac:dyDescent="0.2">
      <c r="A127" s="37" t="s">
        <v>8</v>
      </c>
      <c r="B127" s="39" t="s">
        <v>61</v>
      </c>
      <c r="C127" s="39"/>
      <c r="D127" s="9">
        <v>2.72</v>
      </c>
    </row>
    <row r="128" spans="1:4" x14ac:dyDescent="0.2">
      <c r="A128" s="37" t="s">
        <v>10</v>
      </c>
      <c r="B128" s="39" t="s">
        <v>147</v>
      </c>
      <c r="C128" s="3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40.56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38">
        <v>6</v>
      </c>
      <c r="B134" s="40" t="s">
        <v>63</v>
      </c>
      <c r="C134" s="38" t="s">
        <v>26</v>
      </c>
      <c r="D134" s="38" t="s">
        <v>3</v>
      </c>
    </row>
    <row r="135" spans="1:4" x14ac:dyDescent="0.2">
      <c r="A135" s="37" t="s">
        <v>4</v>
      </c>
      <c r="B135" s="39" t="s">
        <v>64</v>
      </c>
      <c r="C135" s="6">
        <v>0.05</v>
      </c>
      <c r="D135" s="10">
        <f>D155*C135</f>
        <v>154.38310000000001</v>
      </c>
    </row>
    <row r="136" spans="1:4" x14ac:dyDescent="0.2">
      <c r="A136" s="37" t="s">
        <v>6</v>
      </c>
      <c r="B136" s="39" t="s">
        <v>65</v>
      </c>
      <c r="C136" s="6">
        <v>0.06</v>
      </c>
      <c r="D136" s="9">
        <f>(D155+D135)*C136</f>
        <v>194.52270599999997</v>
      </c>
    </row>
    <row r="137" spans="1:4" x14ac:dyDescent="0.2">
      <c r="A137" s="37" t="s">
        <v>8</v>
      </c>
      <c r="B137" s="39" t="s">
        <v>66</v>
      </c>
      <c r="C137" s="8">
        <f>SUM(C138:C143)</f>
        <v>8.6499999999999994E-2</v>
      </c>
      <c r="D137" s="9">
        <f>(D155+D135+D136)*C137/(1-C137)</f>
        <v>325.41118250574709</v>
      </c>
    </row>
    <row r="138" spans="1:4" x14ac:dyDescent="0.2">
      <c r="A138" s="37"/>
      <c r="B138" s="39" t="s">
        <v>67</v>
      </c>
      <c r="C138" s="6"/>
      <c r="D138" s="10">
        <f>$D$157*C138</f>
        <v>0</v>
      </c>
    </row>
    <row r="139" spans="1:4" x14ac:dyDescent="0.2">
      <c r="A139" s="37"/>
      <c r="B139" s="39" t="s">
        <v>102</v>
      </c>
      <c r="C139" s="6">
        <v>6.4999999999999997E-3</v>
      </c>
      <c r="D139" s="10">
        <f t="shared" ref="D139:D143" si="3">$D$157*C139</f>
        <v>24.452869999999997</v>
      </c>
    </row>
    <row r="140" spans="1:4" x14ac:dyDescent="0.2">
      <c r="A140" s="37"/>
      <c r="B140" s="39" t="s">
        <v>103</v>
      </c>
      <c r="C140" s="6">
        <v>0.03</v>
      </c>
      <c r="D140" s="10">
        <f t="shared" si="3"/>
        <v>112.85939999999999</v>
      </c>
    </row>
    <row r="141" spans="1:4" x14ac:dyDescent="0.2">
      <c r="A141" s="37"/>
      <c r="B141" s="39" t="s">
        <v>68</v>
      </c>
      <c r="C141" s="37"/>
      <c r="D141" s="10">
        <f t="shared" si="3"/>
        <v>0</v>
      </c>
    </row>
    <row r="142" spans="1:4" x14ac:dyDescent="0.2">
      <c r="A142" s="37"/>
      <c r="B142" s="39" t="s">
        <v>69</v>
      </c>
      <c r="C142" s="6"/>
      <c r="D142" s="10">
        <f t="shared" si="3"/>
        <v>0</v>
      </c>
    </row>
    <row r="143" spans="1:4" x14ac:dyDescent="0.2">
      <c r="A143" s="37"/>
      <c r="B143" s="39" t="s">
        <v>104</v>
      </c>
      <c r="C143" s="6">
        <v>0.05</v>
      </c>
      <c r="D143" s="10">
        <f t="shared" si="3"/>
        <v>188.09900000000002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674.31698850574708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38"/>
      <c r="B149" s="100" t="s">
        <v>71</v>
      </c>
      <c r="C149" s="100"/>
      <c r="D149" s="38" t="s">
        <v>3</v>
      </c>
    </row>
    <row r="150" spans="1:4" x14ac:dyDescent="0.2">
      <c r="A150" s="38" t="s">
        <v>4</v>
      </c>
      <c r="B150" s="101" t="s">
        <v>1</v>
      </c>
      <c r="C150" s="101"/>
      <c r="D150" s="18">
        <f>D33</f>
        <v>1458.8</v>
      </c>
    </row>
    <row r="151" spans="1:4" x14ac:dyDescent="0.2">
      <c r="A151" s="38" t="s">
        <v>6</v>
      </c>
      <c r="B151" s="101" t="s">
        <v>17</v>
      </c>
      <c r="C151" s="101"/>
      <c r="D151" s="18">
        <f>D77</f>
        <v>1440.7619999999999</v>
      </c>
    </row>
    <row r="152" spans="1:4" x14ac:dyDescent="0.2">
      <c r="A152" s="38" t="s">
        <v>8</v>
      </c>
      <c r="B152" s="101" t="s">
        <v>45</v>
      </c>
      <c r="C152" s="101"/>
      <c r="D152" s="18">
        <f>D89</f>
        <v>89.830000000000013</v>
      </c>
    </row>
    <row r="153" spans="1:4" x14ac:dyDescent="0.2">
      <c r="A153" s="38" t="s">
        <v>10</v>
      </c>
      <c r="B153" s="101" t="s">
        <v>52</v>
      </c>
      <c r="C153" s="101"/>
      <c r="D153" s="18">
        <f>D119</f>
        <v>57.71</v>
      </c>
    </row>
    <row r="154" spans="1:4" x14ac:dyDescent="0.2">
      <c r="A154" s="38" t="s">
        <v>12</v>
      </c>
      <c r="B154" s="101" t="s">
        <v>57</v>
      </c>
      <c r="C154" s="101"/>
      <c r="D154" s="18">
        <f>D129</f>
        <v>40.56</v>
      </c>
    </row>
    <row r="155" spans="1:4" x14ac:dyDescent="0.2">
      <c r="A155" s="100" t="s">
        <v>101</v>
      </c>
      <c r="B155" s="100"/>
      <c r="C155" s="100"/>
      <c r="D155" s="19">
        <f>SUM(D150:D154)</f>
        <v>3087.6619999999998</v>
      </c>
    </row>
    <row r="156" spans="1:4" x14ac:dyDescent="0.2">
      <c r="A156" s="38" t="s">
        <v>32</v>
      </c>
      <c r="B156" s="101" t="s">
        <v>72</v>
      </c>
      <c r="C156" s="101"/>
      <c r="D156" s="20">
        <f>D144</f>
        <v>674.31698850574708</v>
      </c>
    </row>
    <row r="157" spans="1:4" x14ac:dyDescent="0.2">
      <c r="A157" s="100" t="s">
        <v>73</v>
      </c>
      <c r="B157" s="100"/>
      <c r="C157" s="100"/>
      <c r="D157" s="19">
        <f>ROUND(SUM(D155:D156),2)</f>
        <v>3761.98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7"/>
  <sheetViews>
    <sheetView topLeftCell="A85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41" t="s">
        <v>97</v>
      </c>
      <c r="D12" s="25" t="s">
        <v>98</v>
      </c>
    </row>
    <row r="13" spans="1:4" x14ac:dyDescent="0.2">
      <c r="A13" s="112" t="s">
        <v>155</v>
      </c>
      <c r="B13" s="112"/>
      <c r="C13" s="61" t="s">
        <v>105</v>
      </c>
      <c r="D13" s="61">
        <v>4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Atendente IV (LIBRAS)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1782.42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42">
        <v>1</v>
      </c>
      <c r="B25" s="100" t="s">
        <v>2</v>
      </c>
      <c r="C25" s="100"/>
      <c r="D25" s="42" t="s">
        <v>3</v>
      </c>
    </row>
    <row r="26" spans="1:4" x14ac:dyDescent="0.2">
      <c r="A26" s="41" t="s">
        <v>4</v>
      </c>
      <c r="B26" s="101" t="s">
        <v>5</v>
      </c>
      <c r="C26" s="101"/>
      <c r="D26" s="9">
        <f>C19</f>
        <v>1782.42</v>
      </c>
    </row>
    <row r="27" spans="1:4" x14ac:dyDescent="0.2">
      <c r="A27" s="41" t="s">
        <v>6</v>
      </c>
      <c r="B27" s="101" t="s">
        <v>7</v>
      </c>
      <c r="C27" s="101"/>
      <c r="D27" s="9"/>
    </row>
    <row r="28" spans="1:4" x14ac:dyDescent="0.2">
      <c r="A28" s="41" t="s">
        <v>8</v>
      </c>
      <c r="B28" s="101" t="s">
        <v>9</v>
      </c>
      <c r="C28" s="101"/>
      <c r="D28" s="9"/>
    </row>
    <row r="29" spans="1:4" x14ac:dyDescent="0.2">
      <c r="A29" s="41" t="s">
        <v>10</v>
      </c>
      <c r="B29" s="101" t="s">
        <v>11</v>
      </c>
      <c r="C29" s="101"/>
      <c r="D29" s="9"/>
    </row>
    <row r="30" spans="1:4" x14ac:dyDescent="0.2">
      <c r="A30" s="41" t="s">
        <v>12</v>
      </c>
      <c r="B30" s="101" t="s">
        <v>13</v>
      </c>
      <c r="C30" s="101"/>
      <c r="D30" s="9"/>
    </row>
    <row r="31" spans="1:4" x14ac:dyDescent="0.2">
      <c r="A31" s="41"/>
      <c r="B31" s="101"/>
      <c r="C31" s="101"/>
      <c r="D31" s="9"/>
    </row>
    <row r="32" spans="1:4" x14ac:dyDescent="0.2">
      <c r="A32" s="41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1782.42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42" t="s">
        <v>19</v>
      </c>
      <c r="B40" s="100" t="s">
        <v>20</v>
      </c>
      <c r="C40" s="100"/>
      <c r="D40" s="42" t="s">
        <v>3</v>
      </c>
    </row>
    <row r="41" spans="1:4" x14ac:dyDescent="0.2">
      <c r="A41" s="41" t="s">
        <v>4</v>
      </c>
      <c r="B41" s="43" t="s">
        <v>21</v>
      </c>
      <c r="C41" s="8">
        <f>TRUNC(1/12,4)</f>
        <v>8.3299999999999999E-2</v>
      </c>
      <c r="D41" s="9">
        <f>TRUNC($D$33*C41,2)</f>
        <v>148.47</v>
      </c>
    </row>
    <row r="42" spans="1:4" x14ac:dyDescent="0.2">
      <c r="A42" s="41" t="s">
        <v>6</v>
      </c>
      <c r="B42" s="43" t="s">
        <v>22</v>
      </c>
      <c r="C42" s="8">
        <f>TRUNC(((1+1/3)/12),4)</f>
        <v>0.1111</v>
      </c>
      <c r="D42" s="9">
        <f>TRUNC($D$33*C42,2)</f>
        <v>198.02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346.49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42" t="s">
        <v>24</v>
      </c>
      <c r="B48" s="42" t="s">
        <v>25</v>
      </c>
      <c r="C48" s="42" t="s">
        <v>26</v>
      </c>
      <c r="D48" s="42" t="s">
        <v>3</v>
      </c>
    </row>
    <row r="49" spans="1:4" x14ac:dyDescent="0.2">
      <c r="A49" s="41" t="s">
        <v>4</v>
      </c>
      <c r="B49" s="43" t="s">
        <v>27</v>
      </c>
      <c r="C49" s="6">
        <v>0.2</v>
      </c>
      <c r="D49" s="9">
        <f>TRUNC(($D$33+$D$43)*C49,2)</f>
        <v>425.78</v>
      </c>
    </row>
    <row r="50" spans="1:4" x14ac:dyDescent="0.2">
      <c r="A50" s="41" t="s">
        <v>6</v>
      </c>
      <c r="B50" s="43" t="s">
        <v>28</v>
      </c>
      <c r="C50" s="6">
        <v>2.5000000000000001E-2</v>
      </c>
      <c r="D50" s="9">
        <f t="shared" ref="D50:D56" si="0">TRUNC(($D$33+$D$43)*C50,2)</f>
        <v>53.22</v>
      </c>
    </row>
    <row r="51" spans="1:4" x14ac:dyDescent="0.2">
      <c r="A51" s="41" t="s">
        <v>8</v>
      </c>
      <c r="B51" s="43" t="s">
        <v>29</v>
      </c>
      <c r="C51" s="12">
        <v>0.03</v>
      </c>
      <c r="D51" s="9">
        <f t="shared" si="0"/>
        <v>63.86</v>
      </c>
    </row>
    <row r="52" spans="1:4" x14ac:dyDescent="0.2">
      <c r="A52" s="41" t="s">
        <v>10</v>
      </c>
      <c r="B52" s="43" t="s">
        <v>30</v>
      </c>
      <c r="C52" s="6">
        <v>1.4999999999999999E-2</v>
      </c>
      <c r="D52" s="9">
        <f t="shared" si="0"/>
        <v>31.93</v>
      </c>
    </row>
    <row r="53" spans="1:4" x14ac:dyDescent="0.2">
      <c r="A53" s="41" t="s">
        <v>12</v>
      </c>
      <c r="B53" s="43" t="s">
        <v>31</v>
      </c>
      <c r="C53" s="6">
        <v>0.01</v>
      </c>
      <c r="D53" s="9">
        <f t="shared" si="0"/>
        <v>21.28</v>
      </c>
    </row>
    <row r="54" spans="1:4" x14ac:dyDescent="0.2">
      <c r="A54" s="41" t="s">
        <v>32</v>
      </c>
      <c r="B54" s="43" t="s">
        <v>33</v>
      </c>
      <c r="C54" s="6">
        <v>6.0000000000000001E-3</v>
      </c>
      <c r="D54" s="9">
        <f t="shared" si="0"/>
        <v>12.77</v>
      </c>
    </row>
    <row r="55" spans="1:4" x14ac:dyDescent="0.2">
      <c r="A55" s="41" t="s">
        <v>14</v>
      </c>
      <c r="B55" s="43" t="s">
        <v>34</v>
      </c>
      <c r="C55" s="6">
        <v>2E-3</v>
      </c>
      <c r="D55" s="9">
        <f t="shared" si="0"/>
        <v>4.25</v>
      </c>
    </row>
    <row r="56" spans="1:4" x14ac:dyDescent="0.2">
      <c r="A56" s="41" t="s">
        <v>35</v>
      </c>
      <c r="B56" s="43" t="s">
        <v>36</v>
      </c>
      <c r="C56" s="6">
        <v>0.08</v>
      </c>
      <c r="D56" s="9">
        <f t="shared" si="0"/>
        <v>170.31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783.39999999999986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42" t="s">
        <v>39</v>
      </c>
      <c r="B62" s="104" t="s">
        <v>40</v>
      </c>
      <c r="C62" s="104"/>
      <c r="D62" s="42" t="s">
        <v>3</v>
      </c>
    </row>
    <row r="63" spans="1:4" x14ac:dyDescent="0.2">
      <c r="A63" s="41" t="s">
        <v>4</v>
      </c>
      <c r="B63" s="101" t="s">
        <v>41</v>
      </c>
      <c r="C63" s="101"/>
      <c r="D63" s="9">
        <f>(23*2*4.9)-(D26*0.06)</f>
        <v>118.45480000000001</v>
      </c>
    </row>
    <row r="64" spans="1:4" x14ac:dyDescent="0.2">
      <c r="A64" s="41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41" t="s">
        <v>8</v>
      </c>
      <c r="B65" s="101" t="s">
        <v>112</v>
      </c>
      <c r="C65" s="101"/>
      <c r="D65" s="9">
        <v>122.19</v>
      </c>
    </row>
    <row r="66" spans="1:5" x14ac:dyDescent="0.2">
      <c r="A66" s="41" t="s">
        <v>10</v>
      </c>
      <c r="B66" s="101" t="s">
        <v>113</v>
      </c>
      <c r="C66" s="101"/>
      <c r="D66" s="9">
        <v>11.11</v>
      </c>
    </row>
    <row r="67" spans="1:5" x14ac:dyDescent="0.2">
      <c r="A67" s="41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496.60480000000007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42">
        <v>2</v>
      </c>
      <c r="B73" s="104" t="s">
        <v>44</v>
      </c>
      <c r="C73" s="104"/>
      <c r="D73" s="42" t="s">
        <v>3</v>
      </c>
    </row>
    <row r="74" spans="1:5" x14ac:dyDescent="0.2">
      <c r="A74" s="41" t="s">
        <v>19</v>
      </c>
      <c r="B74" s="101" t="s">
        <v>20</v>
      </c>
      <c r="C74" s="101"/>
      <c r="D74" s="10">
        <f>D43</f>
        <v>346.49</v>
      </c>
    </row>
    <row r="75" spans="1:5" x14ac:dyDescent="0.2">
      <c r="A75" s="41" t="s">
        <v>24</v>
      </c>
      <c r="B75" s="101" t="s">
        <v>25</v>
      </c>
      <c r="C75" s="101"/>
      <c r="D75" s="10">
        <f>D57</f>
        <v>783.39999999999986</v>
      </c>
    </row>
    <row r="76" spans="1:5" x14ac:dyDescent="0.2">
      <c r="A76" s="41" t="s">
        <v>39</v>
      </c>
      <c r="B76" s="101" t="s">
        <v>40</v>
      </c>
      <c r="C76" s="101"/>
      <c r="D76" s="10">
        <f>D68</f>
        <v>496.60480000000007</v>
      </c>
    </row>
    <row r="77" spans="1:5" x14ac:dyDescent="0.2">
      <c r="A77" s="100" t="s">
        <v>16</v>
      </c>
      <c r="B77" s="100"/>
      <c r="C77" s="100"/>
      <c r="D77" s="15">
        <f>SUM(D74:D76)</f>
        <v>1626.4947999999999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42">
        <v>3</v>
      </c>
      <c r="B82" s="104" t="s">
        <v>46</v>
      </c>
      <c r="C82" s="104"/>
      <c r="D82" s="42" t="s">
        <v>3</v>
      </c>
    </row>
    <row r="83" spans="1:5" x14ac:dyDescent="0.2">
      <c r="A83" s="41" t="s">
        <v>4</v>
      </c>
      <c r="B83" s="7" t="s">
        <v>47</v>
      </c>
      <c r="C83" s="6">
        <f>TRUNC(((1/12)*5%),4)</f>
        <v>4.1000000000000003E-3</v>
      </c>
      <c r="D83" s="9">
        <f>TRUNC($D$33*C83,2)</f>
        <v>7.3</v>
      </c>
    </row>
    <row r="84" spans="1:5" x14ac:dyDescent="0.2">
      <c r="A84" s="41" t="s">
        <v>6</v>
      </c>
      <c r="B84" s="7" t="s">
        <v>48</v>
      </c>
      <c r="C84" s="6">
        <v>0.08</v>
      </c>
      <c r="D84" s="9">
        <f>TRUNC(D83*C84,2)</f>
        <v>0.57999999999999996</v>
      </c>
    </row>
    <row r="85" spans="1:5" x14ac:dyDescent="0.2">
      <c r="A85" s="41" t="s">
        <v>8</v>
      </c>
      <c r="B85" s="7" t="s">
        <v>49</v>
      </c>
      <c r="C85" s="6">
        <f>TRUNC(8%*5%*40%,4)</f>
        <v>1.6000000000000001E-3</v>
      </c>
      <c r="D85" s="9">
        <f>TRUNC($D$33*C85,2)</f>
        <v>2.85</v>
      </c>
    </row>
    <row r="86" spans="1:5" x14ac:dyDescent="0.2">
      <c r="A86" s="41" t="s">
        <v>10</v>
      </c>
      <c r="B86" s="7" t="s">
        <v>50</v>
      </c>
      <c r="C86" s="6">
        <f>TRUNC(((7/30)/12)*95%,4)</f>
        <v>1.84E-2</v>
      </c>
      <c r="D86" s="9">
        <f>TRUNC($D$33*C86,2)</f>
        <v>32.79</v>
      </c>
    </row>
    <row r="87" spans="1:5" ht="25.5" x14ac:dyDescent="0.2">
      <c r="A87" s="41" t="s">
        <v>12</v>
      </c>
      <c r="B87" s="7" t="s">
        <v>100</v>
      </c>
      <c r="C87" s="6">
        <f>C57</f>
        <v>0.36800000000000005</v>
      </c>
      <c r="D87" s="9">
        <f>TRUNC(D86*C87,2)</f>
        <v>12.06</v>
      </c>
    </row>
    <row r="88" spans="1:5" x14ac:dyDescent="0.2">
      <c r="A88" s="41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54.18</v>
      </c>
    </row>
    <row r="89" spans="1:5" x14ac:dyDescent="0.2">
      <c r="A89" s="107" t="s">
        <v>16</v>
      </c>
      <c r="B89" s="108"/>
      <c r="C89" s="109"/>
      <c r="D89" s="15">
        <f>SUM(D83:D88)</f>
        <v>109.75999999999999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42" t="s">
        <v>53</v>
      </c>
      <c r="B97" s="104" t="s">
        <v>80</v>
      </c>
      <c r="C97" s="104"/>
      <c r="D97" s="42" t="s">
        <v>3</v>
      </c>
    </row>
    <row r="98" spans="1:6" x14ac:dyDescent="0.2">
      <c r="A98" s="41" t="s">
        <v>4</v>
      </c>
      <c r="B98" s="43" t="s">
        <v>81</v>
      </c>
      <c r="C98" s="6">
        <f>TRUNC(((1+1/3)/12)/12,4)</f>
        <v>9.1999999999999998E-3</v>
      </c>
      <c r="D98" s="9">
        <f>TRUNC(($D$33+$D$77+$D$89)*C98,2)</f>
        <v>32.369999999999997</v>
      </c>
    </row>
    <row r="99" spans="1:6" x14ac:dyDescent="0.2">
      <c r="A99" s="41" t="s">
        <v>6</v>
      </c>
      <c r="B99" s="43" t="s">
        <v>82</v>
      </c>
      <c r="C99" s="6">
        <f>TRUNC(((2/30)/12),4)</f>
        <v>5.4999999999999997E-3</v>
      </c>
      <c r="D99" s="9">
        <f t="shared" ref="D99:D103" si="2">TRUNC(($D$33+$D$77+$D$89)*C99,2)</f>
        <v>19.350000000000001</v>
      </c>
    </row>
    <row r="100" spans="1:6" x14ac:dyDescent="0.2">
      <c r="A100" s="41" t="s">
        <v>8</v>
      </c>
      <c r="B100" s="43" t="s">
        <v>83</v>
      </c>
      <c r="C100" s="6">
        <f>TRUNC(((5/30)/12)*2%,4)</f>
        <v>2.0000000000000001E-4</v>
      </c>
      <c r="D100" s="9">
        <f t="shared" si="2"/>
        <v>0.7</v>
      </c>
    </row>
    <row r="101" spans="1:6" x14ac:dyDescent="0.2">
      <c r="A101" s="41" t="s">
        <v>10</v>
      </c>
      <c r="B101" s="43" t="s">
        <v>84</v>
      </c>
      <c r="C101" s="6">
        <f>TRUNC(((15/30)/12)*8%,4)</f>
        <v>3.3E-3</v>
      </c>
      <c r="D101" s="9">
        <f t="shared" si="2"/>
        <v>11.61</v>
      </c>
    </row>
    <row r="102" spans="1:6" x14ac:dyDescent="0.2">
      <c r="A102" s="41" t="s">
        <v>12</v>
      </c>
      <c r="B102" s="43" t="s">
        <v>85</v>
      </c>
      <c r="C102" s="6">
        <f>((1+1/3)/12)*3%*(4/12)</f>
        <v>1.1111111111111109E-3</v>
      </c>
      <c r="D102" s="9">
        <f t="shared" si="2"/>
        <v>3.9</v>
      </c>
    </row>
    <row r="103" spans="1:6" x14ac:dyDescent="0.2">
      <c r="A103" s="41" t="s">
        <v>32</v>
      </c>
      <c r="B103" s="43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67.930000000000007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42" t="s">
        <v>54</v>
      </c>
      <c r="B109" s="104" t="s">
        <v>88</v>
      </c>
      <c r="C109" s="104"/>
      <c r="D109" s="42" t="s">
        <v>3</v>
      </c>
    </row>
    <row r="110" spans="1:6" x14ac:dyDescent="0.2">
      <c r="A110" s="41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42">
        <v>4</v>
      </c>
      <c r="B116" s="100" t="s">
        <v>56</v>
      </c>
      <c r="C116" s="100"/>
      <c r="D116" s="42" t="s">
        <v>3</v>
      </c>
    </row>
    <row r="117" spans="1:4" x14ac:dyDescent="0.2">
      <c r="A117" s="41" t="s">
        <v>53</v>
      </c>
      <c r="B117" s="101" t="s">
        <v>80</v>
      </c>
      <c r="C117" s="101"/>
      <c r="D117" s="10">
        <f>D104</f>
        <v>67.930000000000007</v>
      </c>
    </row>
    <row r="118" spans="1:4" x14ac:dyDescent="0.2">
      <c r="A118" s="41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67.930000000000007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42">
        <v>5</v>
      </c>
      <c r="B124" s="106" t="s">
        <v>58</v>
      </c>
      <c r="C124" s="106"/>
      <c r="D124" s="42" t="s">
        <v>3</v>
      </c>
    </row>
    <row r="125" spans="1:4" x14ac:dyDescent="0.2">
      <c r="A125" s="41" t="s">
        <v>4</v>
      </c>
      <c r="B125" s="43" t="s">
        <v>59</v>
      </c>
      <c r="C125" s="43"/>
      <c r="D125" s="9">
        <v>37.840000000000003</v>
      </c>
    </row>
    <row r="126" spans="1:4" x14ac:dyDescent="0.2">
      <c r="A126" s="41" t="s">
        <v>6</v>
      </c>
      <c r="B126" s="43" t="s">
        <v>60</v>
      </c>
      <c r="C126" s="43"/>
      <c r="D126" s="9">
        <v>0</v>
      </c>
    </row>
    <row r="127" spans="1:4" x14ac:dyDescent="0.2">
      <c r="A127" s="41" t="s">
        <v>8</v>
      </c>
      <c r="B127" s="43" t="s">
        <v>61</v>
      </c>
      <c r="C127" s="43"/>
      <c r="D127" s="9">
        <v>2.72</v>
      </c>
    </row>
    <row r="128" spans="1:4" x14ac:dyDescent="0.2">
      <c r="A128" s="41" t="s">
        <v>10</v>
      </c>
      <c r="B128" s="43" t="s">
        <v>147</v>
      </c>
      <c r="C128" s="43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40.56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42">
        <v>6</v>
      </c>
      <c r="B134" s="44" t="s">
        <v>63</v>
      </c>
      <c r="C134" s="42" t="s">
        <v>26</v>
      </c>
      <c r="D134" s="42" t="s">
        <v>3</v>
      </c>
    </row>
    <row r="135" spans="1:4" x14ac:dyDescent="0.2">
      <c r="A135" s="41" t="s">
        <v>4</v>
      </c>
      <c r="B135" s="43" t="s">
        <v>64</v>
      </c>
      <c r="C135" s="6">
        <v>0.05</v>
      </c>
      <c r="D135" s="10">
        <f>D155*C135</f>
        <v>181.35824</v>
      </c>
    </row>
    <row r="136" spans="1:4" x14ac:dyDescent="0.2">
      <c r="A136" s="41" t="s">
        <v>6</v>
      </c>
      <c r="B136" s="43" t="s">
        <v>65</v>
      </c>
      <c r="C136" s="6">
        <v>0.06</v>
      </c>
      <c r="D136" s="9">
        <f>(D155+D135)*C136</f>
        <v>228.51138239999997</v>
      </c>
    </row>
    <row r="137" spans="1:4" x14ac:dyDescent="0.2">
      <c r="A137" s="41" t="s">
        <v>8</v>
      </c>
      <c r="B137" s="43" t="s">
        <v>66</v>
      </c>
      <c r="C137" s="8">
        <f>SUM(C138:C143)</f>
        <v>8.6499999999999994E-2</v>
      </c>
      <c r="D137" s="9">
        <f>(D155+D135+D136)*C137/(1-C137)</f>
        <v>382.26981668045971</v>
      </c>
    </row>
    <row r="138" spans="1:4" x14ac:dyDescent="0.2">
      <c r="A138" s="41"/>
      <c r="B138" s="43" t="s">
        <v>67</v>
      </c>
      <c r="C138" s="6"/>
      <c r="D138" s="10">
        <f>$D$157*C138</f>
        <v>0</v>
      </c>
    </row>
    <row r="139" spans="1:4" x14ac:dyDescent="0.2">
      <c r="A139" s="41"/>
      <c r="B139" s="43" t="s">
        <v>102</v>
      </c>
      <c r="C139" s="6">
        <v>6.4999999999999997E-3</v>
      </c>
      <c r="D139" s="10">
        <f t="shared" ref="D139:D143" si="3">$D$157*C139</f>
        <v>28.725449999999999</v>
      </c>
    </row>
    <row r="140" spans="1:4" x14ac:dyDescent="0.2">
      <c r="A140" s="41"/>
      <c r="B140" s="43" t="s">
        <v>103</v>
      </c>
      <c r="C140" s="6">
        <v>0.03</v>
      </c>
      <c r="D140" s="10">
        <f t="shared" si="3"/>
        <v>132.57900000000001</v>
      </c>
    </row>
    <row r="141" spans="1:4" x14ac:dyDescent="0.2">
      <c r="A141" s="41"/>
      <c r="B141" s="43" t="s">
        <v>68</v>
      </c>
      <c r="C141" s="41"/>
      <c r="D141" s="10">
        <f t="shared" si="3"/>
        <v>0</v>
      </c>
    </row>
    <row r="142" spans="1:4" x14ac:dyDescent="0.2">
      <c r="A142" s="41"/>
      <c r="B142" s="43" t="s">
        <v>69</v>
      </c>
      <c r="C142" s="6"/>
      <c r="D142" s="10">
        <f t="shared" si="3"/>
        <v>0</v>
      </c>
    </row>
    <row r="143" spans="1:4" x14ac:dyDescent="0.2">
      <c r="A143" s="41"/>
      <c r="B143" s="43" t="s">
        <v>104</v>
      </c>
      <c r="C143" s="6">
        <v>0.05</v>
      </c>
      <c r="D143" s="10">
        <f t="shared" si="3"/>
        <v>220.96500000000003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792.13943908045962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42"/>
      <c r="B149" s="100" t="s">
        <v>71</v>
      </c>
      <c r="C149" s="100"/>
      <c r="D149" s="42" t="s">
        <v>3</v>
      </c>
    </row>
    <row r="150" spans="1:4" x14ac:dyDescent="0.2">
      <c r="A150" s="42" t="s">
        <v>4</v>
      </c>
      <c r="B150" s="101" t="s">
        <v>1</v>
      </c>
      <c r="C150" s="101"/>
      <c r="D150" s="18">
        <f>D33</f>
        <v>1782.42</v>
      </c>
    </row>
    <row r="151" spans="1:4" x14ac:dyDescent="0.2">
      <c r="A151" s="42" t="s">
        <v>6</v>
      </c>
      <c r="B151" s="101" t="s">
        <v>17</v>
      </c>
      <c r="C151" s="101"/>
      <c r="D151" s="18">
        <f>D77</f>
        <v>1626.4947999999999</v>
      </c>
    </row>
    <row r="152" spans="1:4" x14ac:dyDescent="0.2">
      <c r="A152" s="42" t="s">
        <v>8</v>
      </c>
      <c r="B152" s="101" t="s">
        <v>45</v>
      </c>
      <c r="C152" s="101"/>
      <c r="D152" s="18">
        <f>D89</f>
        <v>109.75999999999999</v>
      </c>
    </row>
    <row r="153" spans="1:4" x14ac:dyDescent="0.2">
      <c r="A153" s="42" t="s">
        <v>10</v>
      </c>
      <c r="B153" s="101" t="s">
        <v>52</v>
      </c>
      <c r="C153" s="101"/>
      <c r="D153" s="18">
        <f>D119</f>
        <v>67.930000000000007</v>
      </c>
    </row>
    <row r="154" spans="1:4" x14ac:dyDescent="0.2">
      <c r="A154" s="42" t="s">
        <v>12</v>
      </c>
      <c r="B154" s="101" t="s">
        <v>57</v>
      </c>
      <c r="C154" s="101"/>
      <c r="D154" s="18">
        <f>D129</f>
        <v>40.56</v>
      </c>
    </row>
    <row r="155" spans="1:4" x14ac:dyDescent="0.2">
      <c r="A155" s="100" t="s">
        <v>101</v>
      </c>
      <c r="B155" s="100"/>
      <c r="C155" s="100"/>
      <c r="D155" s="19">
        <f>SUM(D150:D154)</f>
        <v>3627.1647999999996</v>
      </c>
    </row>
    <row r="156" spans="1:4" x14ac:dyDescent="0.2">
      <c r="A156" s="42" t="s">
        <v>32</v>
      </c>
      <c r="B156" s="101" t="s">
        <v>72</v>
      </c>
      <c r="C156" s="101"/>
      <c r="D156" s="20">
        <f>D144</f>
        <v>792.13943908045962</v>
      </c>
    </row>
    <row r="157" spans="1:4" x14ac:dyDescent="0.2">
      <c r="A157" s="100" t="s">
        <v>73</v>
      </c>
      <c r="B157" s="100"/>
      <c r="C157" s="100"/>
      <c r="D157" s="19">
        <f>ROUND(SUM(D155:D156),2)</f>
        <v>4419.3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9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108</v>
      </c>
      <c r="B13" s="112"/>
      <c r="C13" s="61" t="s">
        <v>105</v>
      </c>
      <c r="D13" s="61">
        <v>2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Auxiliar de Supervisão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1465.12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1465.12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1465.12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122.04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162.77000000000001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284.81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349.98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43.74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52.49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26.24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17.489999999999998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10.49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3.49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139.99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643.91000000000008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137.49280000000002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515.64280000000008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284.81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643.91000000000008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515.64280000000008</v>
      </c>
    </row>
    <row r="77" spans="1:5" x14ac:dyDescent="0.2">
      <c r="A77" s="100" t="s">
        <v>16</v>
      </c>
      <c r="B77" s="100"/>
      <c r="C77" s="100"/>
      <c r="D77" s="15">
        <f>SUM(D74:D76)</f>
        <v>1444.3628000000001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6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0.48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2.34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26.95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9.91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44.53</v>
      </c>
    </row>
    <row r="89" spans="1:5" x14ac:dyDescent="0.2">
      <c r="A89" s="107" t="s">
        <v>16</v>
      </c>
      <c r="B89" s="108"/>
      <c r="C89" s="109"/>
      <c r="D89" s="15">
        <f>SUM(D83:D88)</f>
        <v>90.21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27.59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16.489999999999998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0.59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9.89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3.33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57.89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57.89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57.89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0.42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38.260000000000005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154.79214000000002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195.0380964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326.27336359999998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24.517674999999997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113.15849999999999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188.5975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676.10359999999991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1465.12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1444.3628000000001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90.21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57.89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38.260000000000005</v>
      </c>
    </row>
    <row r="155" spans="1:4" x14ac:dyDescent="0.2">
      <c r="A155" s="100" t="s">
        <v>101</v>
      </c>
      <c r="B155" s="100"/>
      <c r="C155" s="100"/>
      <c r="D155" s="19">
        <f>SUM(D150:D154)</f>
        <v>3095.8427999999999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676.10359999999991</v>
      </c>
    </row>
    <row r="157" spans="1:4" x14ac:dyDescent="0.2">
      <c r="A157" s="100" t="s">
        <v>73</v>
      </c>
      <c r="B157" s="100"/>
      <c r="C157" s="100"/>
      <c r="D157" s="19">
        <f>ROUND(SUM(D155:D156),2)</f>
        <v>3771.95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109</v>
      </c>
      <c r="B13" s="112"/>
      <c r="C13" s="61" t="s">
        <v>105</v>
      </c>
      <c r="D13" s="61">
        <v>1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Supervisor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1668.21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1668.21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1668.21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138.96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185.33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324.29000000000002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398.5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49.81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59.77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29.88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19.920000000000002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11.95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3.98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159.4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733.21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125.3074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503.45740000000001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324.29000000000002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733.21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503.45740000000001</v>
      </c>
    </row>
    <row r="77" spans="1:5" x14ac:dyDescent="0.2">
      <c r="A77" s="100" t="s">
        <v>16</v>
      </c>
      <c r="B77" s="100"/>
      <c r="C77" s="100"/>
      <c r="D77" s="15">
        <f>SUM(D74:D76)</f>
        <v>1560.9574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6.83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0.54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2.66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30.69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11.29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50.71</v>
      </c>
    </row>
    <row r="89" spans="1:5" x14ac:dyDescent="0.2">
      <c r="A89" s="107" t="s">
        <v>16</v>
      </c>
      <c r="B89" s="108"/>
      <c r="C89" s="109"/>
      <c r="D89" s="15">
        <f>SUM(D83:D88)</f>
        <v>102.72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30.65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18.32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0.66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10.99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3.7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64.319999999999993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64.319999999999993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64.319999999999993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0.42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38.260000000000005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171.72337000000005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216.37144620000004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361.96128265057479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27.199380000000001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125.5356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209.22600000000003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750.05609885057493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1668.21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1560.9574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102.72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64.319999999999993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38.260000000000005</v>
      </c>
    </row>
    <row r="155" spans="1:4" x14ac:dyDescent="0.2">
      <c r="A155" s="100" t="s">
        <v>101</v>
      </c>
      <c r="B155" s="100"/>
      <c r="C155" s="100"/>
      <c r="D155" s="19">
        <f>SUM(D150:D154)</f>
        <v>3434.4674000000005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750.05609885057493</v>
      </c>
    </row>
    <row r="157" spans="1:4" x14ac:dyDescent="0.2">
      <c r="A157" s="100" t="s">
        <v>73</v>
      </c>
      <c r="B157" s="100"/>
      <c r="C157" s="100"/>
      <c r="D157" s="19">
        <f>ROUND(SUM(D155:D156),2)</f>
        <v>4184.5200000000004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110</v>
      </c>
      <c r="B13" s="112"/>
      <c r="C13" s="61" t="s">
        <v>105</v>
      </c>
      <c r="D13" s="61">
        <v>4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tr">
        <f>A13</f>
        <v>Telefonista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v>1298.42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1298.42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1298.42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108.15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144.25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252.4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310.16000000000003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38.770000000000003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46.52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23.26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15.5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9.3000000000000007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3.1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124.06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570.67000000000007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147.4948</v>
      </c>
    </row>
    <row r="64" spans="1:4" x14ac:dyDescent="0.2">
      <c r="A64" s="27" t="s">
        <v>6</v>
      </c>
      <c r="B64" s="101" t="s">
        <v>42</v>
      </c>
      <c r="C64" s="101"/>
      <c r="D64" s="9">
        <v>0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284.60480000000001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252.4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570.67000000000007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284.60480000000001</v>
      </c>
    </row>
    <row r="77" spans="1:5" x14ac:dyDescent="0.2">
      <c r="A77" s="100" t="s">
        <v>16</v>
      </c>
      <c r="B77" s="100"/>
      <c r="C77" s="100"/>
      <c r="D77" s="15">
        <f>SUM(D74:D76)</f>
        <v>1107.6748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TRUNC(((1/12)*5%),4)</f>
        <v>4.1000000000000003E-3</v>
      </c>
      <c r="D83" s="9">
        <f>TRUNC($D$33*C83,2)</f>
        <v>5.32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0.42</v>
      </c>
    </row>
    <row r="85" spans="1:5" x14ac:dyDescent="0.2">
      <c r="A85" s="27" t="s">
        <v>8</v>
      </c>
      <c r="B85" s="7" t="s">
        <v>49</v>
      </c>
      <c r="C85" s="6">
        <f>TRUNC(8%*5%*40%,4)</f>
        <v>1.6000000000000001E-3</v>
      </c>
      <c r="D85" s="9">
        <f>TRUNC($D$33*C85,2)</f>
        <v>2.0699999999999998</v>
      </c>
    </row>
    <row r="86" spans="1:5" x14ac:dyDescent="0.2">
      <c r="A86" s="27" t="s">
        <v>10</v>
      </c>
      <c r="B86" s="7" t="s">
        <v>50</v>
      </c>
      <c r="C86" s="6">
        <f>TRUNC(((7/30)/12)*95%,4)</f>
        <v>1.84E-2</v>
      </c>
      <c r="D86" s="9">
        <f>TRUNC($D$33*C86,2)</f>
        <v>23.89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8.7899999999999991</v>
      </c>
    </row>
    <row r="88" spans="1:5" x14ac:dyDescent="0.2">
      <c r="A88" s="27" t="s">
        <v>32</v>
      </c>
      <c r="B88" s="7" t="s">
        <v>51</v>
      </c>
      <c r="C88" s="6">
        <f>TRUNC(8%*95%*40%,4)</f>
        <v>3.04E-2</v>
      </c>
      <c r="D88" s="9">
        <f t="shared" ref="D88" si="1">TRUNC($D$33*C88,2)</f>
        <v>39.47</v>
      </c>
    </row>
    <row r="89" spans="1:5" x14ac:dyDescent="0.2">
      <c r="A89" s="107" t="s">
        <v>16</v>
      </c>
      <c r="B89" s="108"/>
      <c r="C89" s="109"/>
      <c r="D89" s="15">
        <f>SUM(D83:D88)</f>
        <v>79.960000000000008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</f>
        <v>9.1999999999999998E-3</v>
      </c>
      <c r="D98" s="9">
        <f>TRUNC(($D$33+$D$77+$D$89)*C98,2)</f>
        <v>22.87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13.67</v>
      </c>
    </row>
    <row r="100" spans="1:6" x14ac:dyDescent="0.2">
      <c r="A100" s="27" t="s">
        <v>8</v>
      </c>
      <c r="B100" s="29" t="s">
        <v>83</v>
      </c>
      <c r="C100" s="6">
        <f>TRUNC(((5/30)/12)*2%,4)</f>
        <v>2.0000000000000001E-4</v>
      </c>
      <c r="D100" s="9">
        <f t="shared" si="2"/>
        <v>0.49</v>
      </c>
    </row>
    <row r="101" spans="1:6" x14ac:dyDescent="0.2">
      <c r="A101" s="27" t="s">
        <v>10</v>
      </c>
      <c r="B101" s="29" t="s">
        <v>84</v>
      </c>
      <c r="C101" s="6">
        <f>TRUNC(((15/30)/12)*8%,4)</f>
        <v>3.3E-3</v>
      </c>
      <c r="D101" s="9">
        <f t="shared" si="2"/>
        <v>8.1999999999999993</v>
      </c>
    </row>
    <row r="102" spans="1:6" x14ac:dyDescent="0.2">
      <c r="A102" s="27" t="s">
        <v>12</v>
      </c>
      <c r="B102" s="29" t="s">
        <v>85</v>
      </c>
      <c r="C102" s="6">
        <f>((1+1/3)/12)*3%*(4/12)</f>
        <v>1.1111111111111109E-3</v>
      </c>
      <c r="D102" s="9">
        <f t="shared" si="2"/>
        <v>2.76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47.99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47.99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47.99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37.840000000000003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2.72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40.56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128.73023999999998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162.20010239999996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271.3396713931034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20.389654999999998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94.106099999999998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156.84350000000001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562.27001379310332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1298.42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1107.6748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79.960000000000008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47.99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40.56</v>
      </c>
    </row>
    <row r="155" spans="1:4" x14ac:dyDescent="0.2">
      <c r="A155" s="100" t="s">
        <v>101</v>
      </c>
      <c r="B155" s="100"/>
      <c r="C155" s="100"/>
      <c r="D155" s="19">
        <f>SUM(D150:D154)</f>
        <v>2574.6047999999996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562.27001379310332</v>
      </c>
    </row>
    <row r="157" spans="1:4" x14ac:dyDescent="0.2">
      <c r="A157" s="100" t="s">
        <v>73</v>
      </c>
      <c r="B157" s="100"/>
      <c r="C157" s="100"/>
      <c r="D157" s="19">
        <f>ROUND(SUM(D155:D156),2)</f>
        <v>3136.87</v>
      </c>
    </row>
  </sheetData>
  <mergeCells count="72">
    <mergeCell ref="A157:C157"/>
    <mergeCell ref="A107:D107"/>
    <mergeCell ref="B153:C153"/>
    <mergeCell ref="B154:C154"/>
    <mergeCell ref="A155:C155"/>
    <mergeCell ref="B156:C156"/>
    <mergeCell ref="B109:C109"/>
    <mergeCell ref="B110:C110"/>
    <mergeCell ref="A111:C111"/>
    <mergeCell ref="A114:D114"/>
    <mergeCell ref="B116:C116"/>
    <mergeCell ref="A89:C89"/>
    <mergeCell ref="A92:D92"/>
    <mergeCell ref="A95:D95"/>
    <mergeCell ref="B97:C97"/>
    <mergeCell ref="A104:C104"/>
    <mergeCell ref="B76:C76"/>
    <mergeCell ref="A77:C77"/>
    <mergeCell ref="A80:D80"/>
    <mergeCell ref="B151:C151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17:C117"/>
    <mergeCell ref="B82:C82"/>
    <mergeCell ref="B73:C73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A68:C68"/>
    <mergeCell ref="A71:D71"/>
    <mergeCell ref="B67:C67"/>
    <mergeCell ref="B74:C74"/>
    <mergeCell ref="B75:C75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6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156</v>
      </c>
      <c r="B13" s="112"/>
      <c r="C13" s="61" t="s">
        <v>105</v>
      </c>
      <c r="D13" s="61">
        <v>8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">
        <v>106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f>atend1!C19</f>
        <v>1230.3499999999999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1230.3499999999999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1230.3499999999999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102.48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136.69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239.17000000000002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293.89999999999998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36.729999999999997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44.08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22.04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14.69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8.81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2.93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117.56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540.74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151.57900000000001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529.72899999999993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239.17000000000002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540.74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529.72899999999993</v>
      </c>
    </row>
    <row r="77" spans="1:5" x14ac:dyDescent="0.2">
      <c r="A77" s="100" t="s">
        <v>16</v>
      </c>
      <c r="B77" s="100"/>
      <c r="C77" s="100"/>
      <c r="D77" s="15">
        <f>SUM(D74:D76)</f>
        <v>1309.6390000000001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2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13.96</v>
      </c>
    </row>
    <row r="100" spans="1:6" x14ac:dyDescent="0.2">
      <c r="A100" s="27" t="s">
        <v>8</v>
      </c>
      <c r="B100" s="2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27" t="s">
        <v>10</v>
      </c>
      <c r="B101" s="2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27" t="s">
        <v>12</v>
      </c>
      <c r="B102" s="2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13.96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13.96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13.96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64.87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64.87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130.94095000000002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164.98559700000001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275.99944150574709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20.739809999999999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95.722199999999987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159.53700000000001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571.92598850574711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1230.3499999999999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1309.6390000000001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13.96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64.87</v>
      </c>
    </row>
    <row r="155" spans="1:4" x14ac:dyDescent="0.2">
      <c r="A155" s="100" t="s">
        <v>101</v>
      </c>
      <c r="B155" s="100"/>
      <c r="C155" s="100"/>
      <c r="D155" s="19">
        <f>SUM(D150:D154)</f>
        <v>2618.819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571.92598850574711</v>
      </c>
    </row>
    <row r="157" spans="1:4" x14ac:dyDescent="0.2">
      <c r="A157" s="100" t="s">
        <v>73</v>
      </c>
      <c r="B157" s="100"/>
      <c r="C157" s="100"/>
      <c r="D157" s="19">
        <f>ROUND(SUM(D155:D156),2)</f>
        <v>3190.74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06" zoomScale="115" zoomScaleNormal="115" workbookViewId="0">
      <selection activeCell="A13" sqref="A13:D13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92" t="s">
        <v>0</v>
      </c>
      <c r="B1" s="92"/>
      <c r="C1" s="92"/>
      <c r="D1" s="92"/>
    </row>
    <row r="2" spans="1:4" ht="15.75" x14ac:dyDescent="0.25">
      <c r="A2" s="21"/>
      <c r="B2" s="21"/>
      <c r="C2" s="21"/>
      <c r="D2" s="21"/>
    </row>
    <row r="3" spans="1:4" x14ac:dyDescent="0.2">
      <c r="A3" s="91" t="s">
        <v>90</v>
      </c>
      <c r="B3" s="91"/>
      <c r="C3" s="91"/>
      <c r="D3" s="9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24" t="s">
        <v>91</v>
      </c>
      <c r="C5" s="22"/>
      <c r="D5" s="23"/>
    </row>
    <row r="6" spans="1:4" x14ac:dyDescent="0.2">
      <c r="A6" s="5" t="s">
        <v>6</v>
      </c>
      <c r="B6" s="24" t="s">
        <v>92</v>
      </c>
      <c r="C6" s="22"/>
      <c r="D6" s="23"/>
    </row>
    <row r="7" spans="1:4" x14ac:dyDescent="0.2">
      <c r="A7" s="5" t="s">
        <v>8</v>
      </c>
      <c r="B7" s="24" t="s">
        <v>93</v>
      </c>
      <c r="C7" s="22"/>
      <c r="D7" s="23"/>
    </row>
    <row r="8" spans="1:4" x14ac:dyDescent="0.2">
      <c r="A8" s="5" t="s">
        <v>10</v>
      </c>
      <c r="B8" s="24" t="s">
        <v>94</v>
      </c>
      <c r="C8" s="22"/>
      <c r="D8" s="23"/>
    </row>
    <row r="10" spans="1:4" x14ac:dyDescent="0.2">
      <c r="A10" s="91" t="s">
        <v>95</v>
      </c>
      <c r="B10" s="91"/>
      <c r="C10" s="91"/>
      <c r="D10" s="91"/>
    </row>
    <row r="11" spans="1:4" x14ac:dyDescent="0.2">
      <c r="A11" s="2"/>
      <c r="B11" s="2"/>
      <c r="C11" s="2"/>
      <c r="D11" s="2"/>
    </row>
    <row r="12" spans="1:4" ht="38.25" x14ac:dyDescent="0.2">
      <c r="A12" s="93" t="s">
        <v>96</v>
      </c>
      <c r="B12" s="93"/>
      <c r="C12" s="27" t="s">
        <v>97</v>
      </c>
      <c r="D12" s="25" t="s">
        <v>98</v>
      </c>
    </row>
    <row r="13" spans="1:4" x14ac:dyDescent="0.2">
      <c r="A13" s="112" t="s">
        <v>157</v>
      </c>
      <c r="B13" s="112"/>
      <c r="C13" s="61" t="s">
        <v>105</v>
      </c>
      <c r="D13" s="61">
        <v>12</v>
      </c>
    </row>
    <row r="15" spans="1:4" x14ac:dyDescent="0.2">
      <c r="A15" s="91" t="s">
        <v>74</v>
      </c>
      <c r="B15" s="91"/>
      <c r="C15" s="91"/>
      <c r="D15" s="9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95" t="s">
        <v>107</v>
      </c>
      <c r="D17" s="96"/>
    </row>
    <row r="18" spans="1:4" x14ac:dyDescent="0.2">
      <c r="A18" s="5">
        <v>2</v>
      </c>
      <c r="B18" s="5" t="s">
        <v>99</v>
      </c>
      <c r="C18" s="95"/>
      <c r="D18" s="96"/>
    </row>
    <row r="19" spans="1:4" x14ac:dyDescent="0.2">
      <c r="A19" s="5">
        <v>3</v>
      </c>
      <c r="B19" s="5" t="s">
        <v>76</v>
      </c>
      <c r="C19" s="97">
        <f>atend2!C19</f>
        <v>1355.64</v>
      </c>
      <c r="D19" s="98"/>
    </row>
    <row r="20" spans="1:4" x14ac:dyDescent="0.2">
      <c r="A20" s="5">
        <v>4</v>
      </c>
      <c r="B20" s="5" t="s">
        <v>77</v>
      </c>
      <c r="C20" s="95" t="s">
        <v>111</v>
      </c>
      <c r="D20" s="96"/>
    </row>
    <row r="21" spans="1:4" x14ac:dyDescent="0.2">
      <c r="A21" s="5">
        <v>5</v>
      </c>
      <c r="B21" s="5" t="s">
        <v>78</v>
      </c>
      <c r="C21" s="99">
        <v>44562</v>
      </c>
      <c r="D21" s="96"/>
    </row>
    <row r="23" spans="1:4" x14ac:dyDescent="0.2">
      <c r="A23" s="91" t="s">
        <v>1</v>
      </c>
      <c r="B23" s="91"/>
      <c r="C23" s="91"/>
      <c r="D23" s="91"/>
    </row>
    <row r="25" spans="1:4" x14ac:dyDescent="0.2">
      <c r="A25" s="28">
        <v>1</v>
      </c>
      <c r="B25" s="100" t="s">
        <v>2</v>
      </c>
      <c r="C25" s="100"/>
      <c r="D25" s="28" t="s">
        <v>3</v>
      </c>
    </row>
    <row r="26" spans="1:4" x14ac:dyDescent="0.2">
      <c r="A26" s="27" t="s">
        <v>4</v>
      </c>
      <c r="B26" s="101" t="s">
        <v>5</v>
      </c>
      <c r="C26" s="101"/>
      <c r="D26" s="9">
        <f>C19</f>
        <v>1355.64</v>
      </c>
    </row>
    <row r="27" spans="1:4" x14ac:dyDescent="0.2">
      <c r="A27" s="27" t="s">
        <v>6</v>
      </c>
      <c r="B27" s="101" t="s">
        <v>7</v>
      </c>
      <c r="C27" s="101"/>
      <c r="D27" s="9"/>
    </row>
    <row r="28" spans="1:4" x14ac:dyDescent="0.2">
      <c r="A28" s="27" t="s">
        <v>8</v>
      </c>
      <c r="B28" s="101" t="s">
        <v>9</v>
      </c>
      <c r="C28" s="101"/>
      <c r="D28" s="9"/>
    </row>
    <row r="29" spans="1:4" x14ac:dyDescent="0.2">
      <c r="A29" s="27" t="s">
        <v>10</v>
      </c>
      <c r="B29" s="101" t="s">
        <v>11</v>
      </c>
      <c r="C29" s="101"/>
      <c r="D29" s="9"/>
    </row>
    <row r="30" spans="1:4" x14ac:dyDescent="0.2">
      <c r="A30" s="27" t="s">
        <v>12</v>
      </c>
      <c r="B30" s="101" t="s">
        <v>13</v>
      </c>
      <c r="C30" s="101"/>
      <c r="D30" s="9"/>
    </row>
    <row r="31" spans="1:4" x14ac:dyDescent="0.2">
      <c r="A31" s="27"/>
      <c r="B31" s="101"/>
      <c r="C31" s="101"/>
      <c r="D31" s="9"/>
    </row>
    <row r="32" spans="1:4" x14ac:dyDescent="0.2">
      <c r="A32" s="27" t="s">
        <v>14</v>
      </c>
      <c r="B32" s="101" t="s">
        <v>15</v>
      </c>
      <c r="C32" s="101"/>
      <c r="D32" s="9"/>
    </row>
    <row r="33" spans="1:4" x14ac:dyDescent="0.2">
      <c r="A33" s="100" t="s">
        <v>16</v>
      </c>
      <c r="B33" s="100"/>
      <c r="C33" s="100"/>
      <c r="D33" s="16">
        <f>SUM(D26:D32)</f>
        <v>1355.64</v>
      </c>
    </row>
    <row r="36" spans="1:4" x14ac:dyDescent="0.2">
      <c r="A36" s="102" t="s">
        <v>17</v>
      </c>
      <c r="B36" s="102"/>
      <c r="C36" s="102"/>
      <c r="D36" s="102"/>
    </row>
    <row r="37" spans="1:4" x14ac:dyDescent="0.2">
      <c r="A37" s="3"/>
    </row>
    <row r="38" spans="1:4" x14ac:dyDescent="0.2">
      <c r="A38" s="103" t="s">
        <v>18</v>
      </c>
      <c r="B38" s="103"/>
      <c r="C38" s="103"/>
      <c r="D38" s="103"/>
    </row>
    <row r="40" spans="1:4" x14ac:dyDescent="0.2">
      <c r="A40" s="28" t="s">
        <v>19</v>
      </c>
      <c r="B40" s="100" t="s">
        <v>20</v>
      </c>
      <c r="C40" s="100"/>
      <c r="D40" s="28" t="s">
        <v>3</v>
      </c>
    </row>
    <row r="41" spans="1:4" x14ac:dyDescent="0.2">
      <c r="A41" s="27" t="s">
        <v>4</v>
      </c>
      <c r="B41" s="29" t="s">
        <v>21</v>
      </c>
      <c r="C41" s="8">
        <f>TRUNC(1/12,4)</f>
        <v>8.3299999999999999E-2</v>
      </c>
      <c r="D41" s="9">
        <f>TRUNC($D$33*C41,2)</f>
        <v>112.92</v>
      </c>
    </row>
    <row r="42" spans="1:4" x14ac:dyDescent="0.2">
      <c r="A42" s="27" t="s">
        <v>6</v>
      </c>
      <c r="B42" s="29" t="s">
        <v>22</v>
      </c>
      <c r="C42" s="8">
        <f>TRUNC(((1+1/3)/12),4)</f>
        <v>0.1111</v>
      </c>
      <c r="D42" s="9">
        <f>TRUNC($D$33*C42,2)</f>
        <v>150.61000000000001</v>
      </c>
    </row>
    <row r="43" spans="1:4" x14ac:dyDescent="0.2">
      <c r="A43" s="100" t="s">
        <v>16</v>
      </c>
      <c r="B43" s="100"/>
      <c r="C43" s="26">
        <f>SUM(C41:C42)</f>
        <v>0.19440000000000002</v>
      </c>
      <c r="D43" s="15">
        <f>SUM(D41:D42)</f>
        <v>263.53000000000003</v>
      </c>
    </row>
    <row r="46" spans="1:4" x14ac:dyDescent="0.2">
      <c r="A46" s="105" t="s">
        <v>23</v>
      </c>
      <c r="B46" s="105"/>
      <c r="C46" s="105"/>
      <c r="D46" s="105"/>
    </row>
    <row r="48" spans="1:4" x14ac:dyDescent="0.2">
      <c r="A48" s="28" t="s">
        <v>24</v>
      </c>
      <c r="B48" s="28" t="s">
        <v>25</v>
      </c>
      <c r="C48" s="28" t="s">
        <v>26</v>
      </c>
      <c r="D48" s="28" t="s">
        <v>3</v>
      </c>
    </row>
    <row r="49" spans="1:4" x14ac:dyDescent="0.2">
      <c r="A49" s="27" t="s">
        <v>4</v>
      </c>
      <c r="B49" s="29" t="s">
        <v>27</v>
      </c>
      <c r="C49" s="6">
        <v>0.2</v>
      </c>
      <c r="D49" s="9">
        <f>TRUNC(($D$33+$D$43)*C49,2)</f>
        <v>323.83</v>
      </c>
    </row>
    <row r="50" spans="1:4" x14ac:dyDescent="0.2">
      <c r="A50" s="27" t="s">
        <v>6</v>
      </c>
      <c r="B50" s="29" t="s">
        <v>28</v>
      </c>
      <c r="C50" s="6">
        <v>2.5000000000000001E-2</v>
      </c>
      <c r="D50" s="9">
        <f t="shared" ref="D50:D56" si="0">TRUNC(($D$33+$D$43)*C50,2)</f>
        <v>40.47</v>
      </c>
    </row>
    <row r="51" spans="1:4" x14ac:dyDescent="0.2">
      <c r="A51" s="27" t="s">
        <v>8</v>
      </c>
      <c r="B51" s="29" t="s">
        <v>29</v>
      </c>
      <c r="C51" s="12">
        <v>0.03</v>
      </c>
      <c r="D51" s="9">
        <f t="shared" si="0"/>
        <v>48.57</v>
      </c>
    </row>
    <row r="52" spans="1:4" x14ac:dyDescent="0.2">
      <c r="A52" s="27" t="s">
        <v>10</v>
      </c>
      <c r="B52" s="29" t="s">
        <v>30</v>
      </c>
      <c r="C52" s="6">
        <v>1.4999999999999999E-2</v>
      </c>
      <c r="D52" s="9">
        <f t="shared" si="0"/>
        <v>24.28</v>
      </c>
    </row>
    <row r="53" spans="1:4" x14ac:dyDescent="0.2">
      <c r="A53" s="27" t="s">
        <v>12</v>
      </c>
      <c r="B53" s="29" t="s">
        <v>31</v>
      </c>
      <c r="C53" s="6">
        <v>0.01</v>
      </c>
      <c r="D53" s="9">
        <f t="shared" si="0"/>
        <v>16.190000000000001</v>
      </c>
    </row>
    <row r="54" spans="1:4" x14ac:dyDescent="0.2">
      <c r="A54" s="27" t="s">
        <v>32</v>
      </c>
      <c r="B54" s="29" t="s">
        <v>33</v>
      </c>
      <c r="C54" s="6">
        <v>6.0000000000000001E-3</v>
      </c>
      <c r="D54" s="9">
        <f t="shared" si="0"/>
        <v>9.7100000000000009</v>
      </c>
    </row>
    <row r="55" spans="1:4" x14ac:dyDescent="0.2">
      <c r="A55" s="27" t="s">
        <v>14</v>
      </c>
      <c r="B55" s="29" t="s">
        <v>34</v>
      </c>
      <c r="C55" s="6">
        <v>2E-3</v>
      </c>
      <c r="D55" s="9">
        <f t="shared" si="0"/>
        <v>3.23</v>
      </c>
    </row>
    <row r="56" spans="1:4" x14ac:dyDescent="0.2">
      <c r="A56" s="27" t="s">
        <v>35</v>
      </c>
      <c r="B56" s="29" t="s">
        <v>36</v>
      </c>
      <c r="C56" s="6">
        <v>0.08</v>
      </c>
      <c r="D56" s="9">
        <f t="shared" si="0"/>
        <v>129.53</v>
      </c>
    </row>
    <row r="57" spans="1:4" x14ac:dyDescent="0.2">
      <c r="A57" s="100" t="s">
        <v>37</v>
      </c>
      <c r="B57" s="100"/>
      <c r="C57" s="11">
        <f>SUM(C49:C56)</f>
        <v>0.36800000000000005</v>
      </c>
      <c r="D57" s="15">
        <f>SUM(D49:D56)</f>
        <v>595.80999999999995</v>
      </c>
    </row>
    <row r="60" spans="1:4" x14ac:dyDescent="0.2">
      <c r="A60" s="103" t="s">
        <v>38</v>
      </c>
      <c r="B60" s="103"/>
      <c r="C60" s="103"/>
      <c r="D60" s="103"/>
    </row>
    <row r="62" spans="1:4" x14ac:dyDescent="0.2">
      <c r="A62" s="28" t="s">
        <v>39</v>
      </c>
      <c r="B62" s="104" t="s">
        <v>40</v>
      </c>
      <c r="C62" s="104"/>
      <c r="D62" s="28" t="s">
        <v>3</v>
      </c>
    </row>
    <row r="63" spans="1:4" x14ac:dyDescent="0.2">
      <c r="A63" s="27" t="s">
        <v>4</v>
      </c>
      <c r="B63" s="101" t="s">
        <v>41</v>
      </c>
      <c r="C63" s="101"/>
      <c r="D63" s="9">
        <f>(23*2*4.9)-(D26*0.06)</f>
        <v>144.0616</v>
      </c>
    </row>
    <row r="64" spans="1:4" x14ac:dyDescent="0.2">
      <c r="A64" s="27" t="s">
        <v>6</v>
      </c>
      <c r="B64" s="101" t="s">
        <v>42</v>
      </c>
      <c r="C64" s="101"/>
      <c r="D64" s="9">
        <f>13.1*0.8*23</f>
        <v>241.04000000000002</v>
      </c>
    </row>
    <row r="65" spans="1:5" x14ac:dyDescent="0.2">
      <c r="A65" s="27" t="s">
        <v>8</v>
      </c>
      <c r="B65" s="101" t="s">
        <v>112</v>
      </c>
      <c r="C65" s="101"/>
      <c r="D65" s="9">
        <v>122.19</v>
      </c>
    </row>
    <row r="66" spans="1:5" x14ac:dyDescent="0.2">
      <c r="A66" s="27" t="s">
        <v>10</v>
      </c>
      <c r="B66" s="101" t="s">
        <v>113</v>
      </c>
      <c r="C66" s="101"/>
      <c r="D66" s="9">
        <v>11.11</v>
      </c>
    </row>
    <row r="67" spans="1:5" x14ac:dyDescent="0.2">
      <c r="A67" s="27" t="s">
        <v>12</v>
      </c>
      <c r="B67" s="101" t="s">
        <v>114</v>
      </c>
      <c r="C67" s="101"/>
      <c r="D67" s="9">
        <v>3.81</v>
      </c>
    </row>
    <row r="68" spans="1:5" x14ac:dyDescent="0.2">
      <c r="A68" s="100" t="s">
        <v>16</v>
      </c>
      <c r="B68" s="100"/>
      <c r="C68" s="100"/>
      <c r="D68" s="15">
        <f>SUM(D63:D67)</f>
        <v>522.21159999999998</v>
      </c>
    </row>
    <row r="71" spans="1:5" x14ac:dyDescent="0.2">
      <c r="A71" s="103" t="s">
        <v>43</v>
      </c>
      <c r="B71" s="103"/>
      <c r="C71" s="103"/>
      <c r="D71" s="103"/>
    </row>
    <row r="73" spans="1:5" x14ac:dyDescent="0.2">
      <c r="A73" s="28">
        <v>2</v>
      </c>
      <c r="B73" s="104" t="s">
        <v>44</v>
      </c>
      <c r="C73" s="104"/>
      <c r="D73" s="28" t="s">
        <v>3</v>
      </c>
    </row>
    <row r="74" spans="1:5" x14ac:dyDescent="0.2">
      <c r="A74" s="27" t="s">
        <v>19</v>
      </c>
      <c r="B74" s="101" t="s">
        <v>20</v>
      </c>
      <c r="C74" s="101"/>
      <c r="D74" s="10">
        <f>D43</f>
        <v>263.53000000000003</v>
      </c>
    </row>
    <row r="75" spans="1:5" x14ac:dyDescent="0.2">
      <c r="A75" s="27" t="s">
        <v>24</v>
      </c>
      <c r="B75" s="101" t="s">
        <v>25</v>
      </c>
      <c r="C75" s="101"/>
      <c r="D75" s="10">
        <f>D57</f>
        <v>595.80999999999995</v>
      </c>
    </row>
    <row r="76" spans="1:5" x14ac:dyDescent="0.2">
      <c r="A76" s="27" t="s">
        <v>39</v>
      </c>
      <c r="B76" s="101" t="s">
        <v>40</v>
      </c>
      <c r="C76" s="101"/>
      <c r="D76" s="10">
        <f>D68</f>
        <v>522.21159999999998</v>
      </c>
    </row>
    <row r="77" spans="1:5" x14ac:dyDescent="0.2">
      <c r="A77" s="100" t="s">
        <v>16</v>
      </c>
      <c r="B77" s="100"/>
      <c r="C77" s="100"/>
      <c r="D77" s="15">
        <f>SUM(D74:D76)</f>
        <v>1381.5515999999998</v>
      </c>
    </row>
    <row r="78" spans="1:5" x14ac:dyDescent="0.2">
      <c r="A78" s="4"/>
      <c r="E78" s="14"/>
    </row>
    <row r="80" spans="1:5" x14ac:dyDescent="0.2">
      <c r="A80" s="102" t="s">
        <v>45</v>
      </c>
      <c r="B80" s="102"/>
      <c r="C80" s="102"/>
      <c r="D80" s="102"/>
      <c r="E80" s="13"/>
    </row>
    <row r="81" spans="1:5" ht="12.75" customHeight="1" x14ac:dyDescent="0.2">
      <c r="E81" s="14"/>
    </row>
    <row r="82" spans="1:5" x14ac:dyDescent="0.2">
      <c r="A82" s="28">
        <v>3</v>
      </c>
      <c r="B82" s="104" t="s">
        <v>46</v>
      </c>
      <c r="C82" s="104"/>
      <c r="D82" s="28" t="s">
        <v>3</v>
      </c>
    </row>
    <row r="83" spans="1:5" x14ac:dyDescent="0.2">
      <c r="A83" s="27" t="s">
        <v>4</v>
      </c>
      <c r="B83" s="7" t="s">
        <v>47</v>
      </c>
      <c r="C83" s="6">
        <f>TRUNC(((1/12)*0%),4)</f>
        <v>0</v>
      </c>
      <c r="D83" s="9">
        <f>TRUNC($D$33*C83,2)</f>
        <v>0</v>
      </c>
    </row>
    <row r="84" spans="1:5" x14ac:dyDescent="0.2">
      <c r="A84" s="27" t="s">
        <v>6</v>
      </c>
      <c r="B84" s="7" t="s">
        <v>48</v>
      </c>
      <c r="C84" s="6">
        <v>0.08</v>
      </c>
      <c r="D84" s="9">
        <f>TRUNC(D83*C84,2)</f>
        <v>0</v>
      </c>
    </row>
    <row r="85" spans="1:5" x14ac:dyDescent="0.2">
      <c r="A85" s="27" t="s">
        <v>8</v>
      </c>
      <c r="B85" s="7" t="s">
        <v>49</v>
      </c>
      <c r="C85" s="6">
        <f>TRUNC(8%*0%*40%,4)</f>
        <v>0</v>
      </c>
      <c r="D85" s="9">
        <f>TRUNC($D$33*C85,2)</f>
        <v>0</v>
      </c>
    </row>
    <row r="86" spans="1:5" x14ac:dyDescent="0.2">
      <c r="A86" s="27" t="s">
        <v>10</v>
      </c>
      <c r="B86" s="7" t="s">
        <v>50</v>
      </c>
      <c r="C86" s="6">
        <f>TRUNC(((7/30)/12)*0%,4)</f>
        <v>0</v>
      </c>
      <c r="D86" s="9">
        <f>TRUNC($D$33*C86,2)</f>
        <v>0</v>
      </c>
    </row>
    <row r="87" spans="1:5" ht="25.5" x14ac:dyDescent="0.2">
      <c r="A87" s="27" t="s">
        <v>12</v>
      </c>
      <c r="B87" s="7" t="s">
        <v>100</v>
      </c>
      <c r="C87" s="6">
        <f>C57</f>
        <v>0.36800000000000005</v>
      </c>
      <c r="D87" s="9">
        <f>TRUNC(D86*C87,2)</f>
        <v>0</v>
      </c>
    </row>
    <row r="88" spans="1:5" x14ac:dyDescent="0.2">
      <c r="A88" s="27" t="s">
        <v>32</v>
      </c>
      <c r="B88" s="7" t="s">
        <v>51</v>
      </c>
      <c r="C88" s="6">
        <f>TRUNC(8%*0%*40%,4)</f>
        <v>0</v>
      </c>
      <c r="D88" s="9">
        <f t="shared" ref="D88" si="1">TRUNC($D$33*C88,2)</f>
        <v>0</v>
      </c>
    </row>
    <row r="89" spans="1:5" x14ac:dyDescent="0.2">
      <c r="A89" s="107" t="s">
        <v>16</v>
      </c>
      <c r="B89" s="108"/>
      <c r="C89" s="109"/>
      <c r="D89" s="15">
        <f>SUM(D83:D88)</f>
        <v>0</v>
      </c>
    </row>
    <row r="92" spans="1:5" x14ac:dyDescent="0.2">
      <c r="A92" s="102" t="s">
        <v>52</v>
      </c>
      <c r="B92" s="102"/>
      <c r="C92" s="102"/>
      <c r="D92" s="102"/>
    </row>
    <row r="95" spans="1:5" x14ac:dyDescent="0.2">
      <c r="A95" s="103" t="s">
        <v>79</v>
      </c>
      <c r="B95" s="103"/>
      <c r="C95" s="103"/>
      <c r="D95" s="103"/>
    </row>
    <row r="96" spans="1:5" x14ac:dyDescent="0.2">
      <c r="A96" s="3"/>
    </row>
    <row r="97" spans="1:6" x14ac:dyDescent="0.2">
      <c r="A97" s="28" t="s">
        <v>53</v>
      </c>
      <c r="B97" s="104" t="s">
        <v>80</v>
      </c>
      <c r="C97" s="104"/>
      <c r="D97" s="28" t="s">
        <v>3</v>
      </c>
    </row>
    <row r="98" spans="1:6" x14ac:dyDescent="0.2">
      <c r="A98" s="27" t="s">
        <v>4</v>
      </c>
      <c r="B98" s="29" t="s">
        <v>81</v>
      </c>
      <c r="C98" s="6">
        <f>TRUNC(((1+1/3)/12)/12,4)*0</f>
        <v>0</v>
      </c>
      <c r="D98" s="9">
        <f>TRUNC(($D$33+$D$77+$D$89)*C98,2)</f>
        <v>0</v>
      </c>
    </row>
    <row r="99" spans="1:6" x14ac:dyDescent="0.2">
      <c r="A99" s="27" t="s">
        <v>6</v>
      </c>
      <c r="B99" s="29" t="s">
        <v>82</v>
      </c>
      <c r="C99" s="6">
        <f>TRUNC(((2/30)/12),4)</f>
        <v>5.4999999999999997E-3</v>
      </c>
      <c r="D99" s="9">
        <f t="shared" ref="D99:D103" si="2">TRUNC(($D$33+$D$77+$D$89)*C99,2)</f>
        <v>15.05</v>
      </c>
    </row>
    <row r="100" spans="1:6" x14ac:dyDescent="0.2">
      <c r="A100" s="27" t="s">
        <v>8</v>
      </c>
      <c r="B100" s="29" t="s">
        <v>83</v>
      </c>
      <c r="C100" s="6">
        <f>TRUNC(((5/30)/12)*2%,4)*0</f>
        <v>0</v>
      </c>
      <c r="D100" s="9">
        <f t="shared" si="2"/>
        <v>0</v>
      </c>
    </row>
    <row r="101" spans="1:6" x14ac:dyDescent="0.2">
      <c r="A101" s="27" t="s">
        <v>10</v>
      </c>
      <c r="B101" s="29" t="s">
        <v>84</v>
      </c>
      <c r="C101" s="6">
        <f>TRUNC(((15/30)/12)*8%,4)*0</f>
        <v>0</v>
      </c>
      <c r="D101" s="9">
        <f t="shared" si="2"/>
        <v>0</v>
      </c>
    </row>
    <row r="102" spans="1:6" x14ac:dyDescent="0.2">
      <c r="A102" s="27" t="s">
        <v>12</v>
      </c>
      <c r="B102" s="29" t="s">
        <v>85</v>
      </c>
      <c r="C102" s="6">
        <f>((1+1/3)/12)*3%*(4/12)*0</f>
        <v>0</v>
      </c>
      <c r="D102" s="9">
        <f t="shared" si="2"/>
        <v>0</v>
      </c>
    </row>
    <row r="103" spans="1:6" x14ac:dyDescent="0.2">
      <c r="A103" s="27" t="s">
        <v>32</v>
      </c>
      <c r="B103" s="29" t="s">
        <v>86</v>
      </c>
      <c r="C103" s="6"/>
      <c r="D103" s="9">
        <f t="shared" si="2"/>
        <v>0</v>
      </c>
    </row>
    <row r="104" spans="1:6" x14ac:dyDescent="0.2">
      <c r="A104" s="100" t="s">
        <v>37</v>
      </c>
      <c r="B104" s="100"/>
      <c r="C104" s="100"/>
      <c r="D104" s="15">
        <f>SUM(D98:D103)</f>
        <v>15.05</v>
      </c>
      <c r="E104" s="13"/>
      <c r="F104" s="13"/>
    </row>
    <row r="107" spans="1:6" x14ac:dyDescent="0.2">
      <c r="A107" s="103" t="s">
        <v>87</v>
      </c>
      <c r="B107" s="103"/>
      <c r="C107" s="103"/>
      <c r="D107" s="103"/>
    </row>
    <row r="108" spans="1:6" x14ac:dyDescent="0.2">
      <c r="A108" s="3"/>
    </row>
    <row r="109" spans="1:6" x14ac:dyDescent="0.2">
      <c r="A109" s="28" t="s">
        <v>54</v>
      </c>
      <c r="B109" s="104" t="s">
        <v>88</v>
      </c>
      <c r="C109" s="104"/>
      <c r="D109" s="28" t="s">
        <v>3</v>
      </c>
    </row>
    <row r="110" spans="1:6" x14ac:dyDescent="0.2">
      <c r="A110" s="27" t="s">
        <v>4</v>
      </c>
      <c r="B110" s="110" t="s">
        <v>89</v>
      </c>
      <c r="C110" s="111"/>
      <c r="D110" s="9">
        <f>((D33+D77+D89)/220)*22*0</f>
        <v>0</v>
      </c>
    </row>
    <row r="111" spans="1:6" x14ac:dyDescent="0.2">
      <c r="A111" s="100" t="s">
        <v>16</v>
      </c>
      <c r="B111" s="100"/>
      <c r="C111" s="100"/>
      <c r="D111" s="15">
        <f>SUM(D110)</f>
        <v>0</v>
      </c>
    </row>
    <row r="114" spans="1:4" x14ac:dyDescent="0.2">
      <c r="A114" s="103" t="s">
        <v>55</v>
      </c>
      <c r="B114" s="103"/>
      <c r="C114" s="103"/>
      <c r="D114" s="103"/>
    </row>
    <row r="115" spans="1:4" x14ac:dyDescent="0.2">
      <c r="A115" s="3"/>
    </row>
    <row r="116" spans="1:4" x14ac:dyDescent="0.2">
      <c r="A116" s="28">
        <v>4</v>
      </c>
      <c r="B116" s="100" t="s">
        <v>56</v>
      </c>
      <c r="C116" s="100"/>
      <c r="D116" s="28" t="s">
        <v>3</v>
      </c>
    </row>
    <row r="117" spans="1:4" x14ac:dyDescent="0.2">
      <c r="A117" s="27" t="s">
        <v>53</v>
      </c>
      <c r="B117" s="101" t="s">
        <v>80</v>
      </c>
      <c r="C117" s="101"/>
      <c r="D117" s="10">
        <f>D104</f>
        <v>15.05</v>
      </c>
    </row>
    <row r="118" spans="1:4" x14ac:dyDescent="0.2">
      <c r="A118" s="27" t="s">
        <v>54</v>
      </c>
      <c r="B118" s="101" t="s">
        <v>88</v>
      </c>
      <c r="C118" s="101"/>
      <c r="D118" s="10">
        <f>D111</f>
        <v>0</v>
      </c>
    </row>
    <row r="119" spans="1:4" x14ac:dyDescent="0.2">
      <c r="A119" s="100" t="s">
        <v>16</v>
      </c>
      <c r="B119" s="100"/>
      <c r="C119" s="100"/>
      <c r="D119" s="15">
        <f>SUM(D117:D118)</f>
        <v>15.05</v>
      </c>
    </row>
    <row r="122" spans="1:4" x14ac:dyDescent="0.2">
      <c r="A122" s="102" t="s">
        <v>57</v>
      </c>
      <c r="B122" s="102"/>
      <c r="C122" s="102"/>
      <c r="D122" s="102"/>
    </row>
    <row r="124" spans="1:4" x14ac:dyDescent="0.2">
      <c r="A124" s="28">
        <v>5</v>
      </c>
      <c r="B124" s="106" t="s">
        <v>58</v>
      </c>
      <c r="C124" s="106"/>
      <c r="D124" s="28" t="s">
        <v>3</v>
      </c>
    </row>
    <row r="125" spans="1:4" x14ac:dyDescent="0.2">
      <c r="A125" s="27" t="s">
        <v>4</v>
      </c>
      <c r="B125" s="29" t="s">
        <v>59</v>
      </c>
      <c r="C125" s="29"/>
      <c r="D125" s="9">
        <v>64.87</v>
      </c>
    </row>
    <row r="126" spans="1:4" x14ac:dyDescent="0.2">
      <c r="A126" s="27" t="s">
        <v>6</v>
      </c>
      <c r="B126" s="29" t="s">
        <v>60</v>
      </c>
      <c r="C126" s="29"/>
      <c r="D126" s="9">
        <v>0</v>
      </c>
    </row>
    <row r="127" spans="1:4" x14ac:dyDescent="0.2">
      <c r="A127" s="27" t="s">
        <v>8</v>
      </c>
      <c r="B127" s="29" t="s">
        <v>61</v>
      </c>
      <c r="C127" s="29"/>
      <c r="D127" s="9">
        <v>0</v>
      </c>
    </row>
    <row r="128" spans="1:4" x14ac:dyDescent="0.2">
      <c r="A128" s="27" t="s">
        <v>10</v>
      </c>
      <c r="B128" s="29" t="s">
        <v>147</v>
      </c>
      <c r="C128" s="29"/>
      <c r="D128" s="9">
        <v>0</v>
      </c>
    </row>
    <row r="129" spans="1:4" x14ac:dyDescent="0.2">
      <c r="A129" s="100" t="s">
        <v>37</v>
      </c>
      <c r="B129" s="100"/>
      <c r="C129" s="100"/>
      <c r="D129" s="16">
        <f>SUM(D125:D128)</f>
        <v>64.87</v>
      </c>
    </row>
    <row r="132" spans="1:4" x14ac:dyDescent="0.2">
      <c r="A132" s="102" t="s">
        <v>62</v>
      </c>
      <c r="B132" s="102"/>
      <c r="C132" s="102"/>
      <c r="D132" s="102"/>
    </row>
    <row r="134" spans="1:4" x14ac:dyDescent="0.2">
      <c r="A134" s="28">
        <v>6</v>
      </c>
      <c r="B134" s="30" t="s">
        <v>63</v>
      </c>
      <c r="C134" s="28" t="s">
        <v>26</v>
      </c>
      <c r="D134" s="28" t="s">
        <v>3</v>
      </c>
    </row>
    <row r="135" spans="1:4" x14ac:dyDescent="0.2">
      <c r="A135" s="27" t="s">
        <v>4</v>
      </c>
      <c r="B135" s="29" t="s">
        <v>64</v>
      </c>
      <c r="C135" s="6">
        <v>0.05</v>
      </c>
      <c r="D135" s="10">
        <f>D155*C135</f>
        <v>140.85558</v>
      </c>
    </row>
    <row r="136" spans="1:4" x14ac:dyDescent="0.2">
      <c r="A136" s="27" t="s">
        <v>6</v>
      </c>
      <c r="B136" s="29" t="s">
        <v>65</v>
      </c>
      <c r="C136" s="6">
        <v>0.06</v>
      </c>
      <c r="D136" s="9">
        <f>(D155+D135)*C136</f>
        <v>177.4780308</v>
      </c>
    </row>
    <row r="137" spans="1:4" x14ac:dyDescent="0.2">
      <c r="A137" s="27" t="s">
        <v>8</v>
      </c>
      <c r="B137" s="29" t="s">
        <v>66</v>
      </c>
      <c r="C137" s="8">
        <f>SUM(C138:C143)</f>
        <v>8.6499999999999994E-2</v>
      </c>
      <c r="D137" s="9">
        <f>(D155+D135+D136)*C137/(1-C137)</f>
        <v>296.89765816551721</v>
      </c>
    </row>
    <row r="138" spans="1:4" x14ac:dyDescent="0.2">
      <c r="A138" s="27"/>
      <c r="B138" s="29" t="s">
        <v>67</v>
      </c>
      <c r="C138" s="6"/>
      <c r="D138" s="10">
        <f>$D$157*C138</f>
        <v>0</v>
      </c>
    </row>
    <row r="139" spans="1:4" x14ac:dyDescent="0.2">
      <c r="A139" s="27"/>
      <c r="B139" s="29" t="s">
        <v>102</v>
      </c>
      <c r="C139" s="6">
        <v>6.4999999999999997E-3</v>
      </c>
      <c r="D139" s="10">
        <f t="shared" ref="D139:D143" si="3">$D$157*C139</f>
        <v>22.310210000000001</v>
      </c>
    </row>
    <row r="140" spans="1:4" x14ac:dyDescent="0.2">
      <c r="A140" s="27"/>
      <c r="B140" s="29" t="s">
        <v>103</v>
      </c>
      <c r="C140" s="6">
        <v>0.03</v>
      </c>
      <c r="D140" s="10">
        <f t="shared" si="3"/>
        <v>102.97020000000001</v>
      </c>
    </row>
    <row r="141" spans="1:4" x14ac:dyDescent="0.2">
      <c r="A141" s="27"/>
      <c r="B141" s="29" t="s">
        <v>68</v>
      </c>
      <c r="C141" s="27"/>
      <c r="D141" s="10">
        <f t="shared" si="3"/>
        <v>0</v>
      </c>
    </row>
    <row r="142" spans="1:4" x14ac:dyDescent="0.2">
      <c r="A142" s="27"/>
      <c r="B142" s="29" t="s">
        <v>69</v>
      </c>
      <c r="C142" s="6"/>
      <c r="D142" s="10">
        <f t="shared" si="3"/>
        <v>0</v>
      </c>
    </row>
    <row r="143" spans="1:4" x14ac:dyDescent="0.2">
      <c r="A143" s="27"/>
      <c r="B143" s="29" t="s">
        <v>104</v>
      </c>
      <c r="C143" s="6">
        <v>0.05</v>
      </c>
      <c r="D143" s="10">
        <f t="shared" si="3"/>
        <v>171.61700000000002</v>
      </c>
    </row>
    <row r="144" spans="1:4" ht="13.5" x14ac:dyDescent="0.2">
      <c r="A144" s="107" t="s">
        <v>37</v>
      </c>
      <c r="B144" s="108"/>
      <c r="C144" s="17">
        <f>(1+C136)*(1+C135)/(1-C137)-1</f>
        <v>0.21839080459770144</v>
      </c>
      <c r="D144" s="15">
        <f>SUM(D135:D137)</f>
        <v>615.23126896551719</v>
      </c>
    </row>
    <row r="147" spans="1:4" x14ac:dyDescent="0.2">
      <c r="A147" s="102" t="s">
        <v>70</v>
      </c>
      <c r="B147" s="102"/>
      <c r="C147" s="102"/>
      <c r="D147" s="102"/>
    </row>
    <row r="149" spans="1:4" x14ac:dyDescent="0.2">
      <c r="A149" s="28"/>
      <c r="B149" s="100" t="s">
        <v>71</v>
      </c>
      <c r="C149" s="100"/>
      <c r="D149" s="28" t="s">
        <v>3</v>
      </c>
    </row>
    <row r="150" spans="1:4" x14ac:dyDescent="0.2">
      <c r="A150" s="28" t="s">
        <v>4</v>
      </c>
      <c r="B150" s="101" t="s">
        <v>1</v>
      </c>
      <c r="C150" s="101"/>
      <c r="D150" s="18">
        <f>D33</f>
        <v>1355.64</v>
      </c>
    </row>
    <row r="151" spans="1:4" x14ac:dyDescent="0.2">
      <c r="A151" s="28" t="s">
        <v>6</v>
      </c>
      <c r="B151" s="101" t="s">
        <v>17</v>
      </c>
      <c r="C151" s="101"/>
      <c r="D151" s="18">
        <f>D77</f>
        <v>1381.5515999999998</v>
      </c>
    </row>
    <row r="152" spans="1:4" x14ac:dyDescent="0.2">
      <c r="A152" s="28" t="s">
        <v>8</v>
      </c>
      <c r="B152" s="101" t="s">
        <v>45</v>
      </c>
      <c r="C152" s="101"/>
      <c r="D152" s="18">
        <f>D89</f>
        <v>0</v>
      </c>
    </row>
    <row r="153" spans="1:4" x14ac:dyDescent="0.2">
      <c r="A153" s="28" t="s">
        <v>10</v>
      </c>
      <c r="B153" s="101" t="s">
        <v>52</v>
      </c>
      <c r="C153" s="101"/>
      <c r="D153" s="18">
        <f>D119</f>
        <v>15.05</v>
      </c>
    </row>
    <row r="154" spans="1:4" x14ac:dyDescent="0.2">
      <c r="A154" s="28" t="s">
        <v>12</v>
      </c>
      <c r="B154" s="101" t="s">
        <v>57</v>
      </c>
      <c r="C154" s="101"/>
      <c r="D154" s="18">
        <f>D129</f>
        <v>64.87</v>
      </c>
    </row>
    <row r="155" spans="1:4" x14ac:dyDescent="0.2">
      <c r="A155" s="100" t="s">
        <v>101</v>
      </c>
      <c r="B155" s="100"/>
      <c r="C155" s="100"/>
      <c r="D155" s="19">
        <f>SUM(D150:D154)</f>
        <v>2817.1116000000002</v>
      </c>
    </row>
    <row r="156" spans="1:4" x14ac:dyDescent="0.2">
      <c r="A156" s="28" t="s">
        <v>32</v>
      </c>
      <c r="B156" s="101" t="s">
        <v>72</v>
      </c>
      <c r="C156" s="101"/>
      <c r="D156" s="20">
        <f>D144</f>
        <v>615.23126896551719</v>
      </c>
    </row>
    <row r="157" spans="1:4" x14ac:dyDescent="0.2">
      <c r="A157" s="100" t="s">
        <v>73</v>
      </c>
      <c r="B157" s="100"/>
      <c r="C157" s="100"/>
      <c r="D157" s="19">
        <f>ROUND(SUM(D155:D156),2)</f>
        <v>3432.34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1</vt:i4>
      </vt:variant>
    </vt:vector>
  </HeadingPairs>
  <TitlesOfParts>
    <vt:vector size="15" baseType="lpstr">
      <vt:lpstr>atend1</vt:lpstr>
      <vt:lpstr>atend2</vt:lpstr>
      <vt:lpstr>atend3</vt:lpstr>
      <vt:lpstr>atend4</vt:lpstr>
      <vt:lpstr>auxsuperv</vt:lpstr>
      <vt:lpstr>superv</vt:lpstr>
      <vt:lpstr>telef</vt:lpstr>
      <vt:lpstr>atend1temp</vt:lpstr>
      <vt:lpstr>atend2temp</vt:lpstr>
      <vt:lpstr>atend3temp</vt:lpstr>
      <vt:lpstr>auxsupervtemp</vt:lpstr>
      <vt:lpstr>teleftemp</vt:lpstr>
      <vt:lpstr>hextra</vt:lpstr>
      <vt:lpstr>total</vt:lpstr>
      <vt:lpstr>hextra!Titulos_de_impressao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lastPrinted>2022-09-28T15:58:28Z</cp:lastPrinted>
  <dcterms:created xsi:type="dcterms:W3CDTF">2019-01-29T18:54:26Z</dcterms:created>
  <dcterms:modified xsi:type="dcterms:W3CDTF">2022-11-04T16:22:51Z</dcterms:modified>
</cp:coreProperties>
</file>